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X:\Samantha\Budget\FY2021\Water Rates\"/>
    </mc:Choice>
  </mc:AlternateContent>
  <xr:revisionPtr revIDLastSave="0" documentId="13_ncr:1_{19224B20-0E37-4DAA-BF13-1FF661EACF87}" xr6:coauthVersionLast="45" xr6:coauthVersionMax="45" xr10:uidLastSave="{00000000-0000-0000-0000-000000000000}"/>
  <bookViews>
    <workbookView xWindow="28680" yWindow="-120" windowWidth="29040" windowHeight="15840" firstSheet="2" activeTab="2" xr2:uid="{00000000-000D-0000-FFFF-FFFF00000000}"/>
  </bookViews>
  <sheets>
    <sheet name="FY20 Data" sheetId="1" state="hidden" r:id="rId1"/>
    <sheet name="FY20 Calcs" sheetId="2" state="hidden" r:id="rId2"/>
    <sheet name="Results" sheetId="3" r:id="rId3"/>
    <sheet name="Instructions"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3" l="1"/>
  <c r="B17" i="3"/>
  <c r="B44" i="2"/>
  <c r="B42" i="2"/>
  <c r="O19" i="2"/>
  <c r="N18" i="2"/>
  <c r="N17" i="2"/>
  <c r="N16" i="2"/>
  <c r="N15" i="2"/>
  <c r="B15" i="3"/>
  <c r="D42" i="2"/>
  <c r="C47" i="2"/>
  <c r="E29" i="2"/>
  <c r="E30" i="2"/>
  <c r="C17" i="2"/>
  <c r="C16" i="2"/>
  <c r="C15" i="2"/>
  <c r="G45" i="2" l="1"/>
  <c r="G43" i="2"/>
  <c r="J41" i="2" s="1"/>
  <c r="B43" i="2"/>
  <c r="D44" i="2" s="1"/>
  <c r="E34" i="2"/>
  <c r="E33" i="2"/>
  <c r="E32" i="2"/>
  <c r="E31" i="2"/>
  <c r="E28" i="2"/>
  <c r="N8" i="2"/>
  <c r="N11" i="2"/>
  <c r="B19" i="3" s="1"/>
  <c r="I15" i="2"/>
  <c r="E11" i="2"/>
  <c r="G42" i="2"/>
  <c r="E40" i="2"/>
  <c r="D40" i="2"/>
  <c r="J39" i="2"/>
  <c r="I39" i="2"/>
  <c r="E39" i="2"/>
  <c r="D39" i="2"/>
  <c r="J38" i="2"/>
  <c r="I38" i="2"/>
  <c r="E38" i="2"/>
  <c r="D38" i="2"/>
  <c r="P12" i="2"/>
  <c r="E7" i="2"/>
  <c r="D7" i="2"/>
  <c r="E6" i="2"/>
  <c r="D6" i="2"/>
  <c r="E5" i="2"/>
  <c r="D5" i="2"/>
  <c r="D49" i="1"/>
  <c r="C33" i="1"/>
  <c r="C32" i="1"/>
  <c r="C31" i="1"/>
  <c r="C30" i="1"/>
  <c r="C29" i="1"/>
  <c r="C28" i="1"/>
  <c r="C27" i="1"/>
  <c r="C26" i="1"/>
  <c r="C25" i="1"/>
  <c r="C24" i="1"/>
  <c r="E35" i="2" l="1"/>
  <c r="B45" i="2" s="1"/>
  <c r="C18" i="2"/>
  <c r="C19" i="2" s="1"/>
  <c r="D9" i="2"/>
  <c r="E44" i="2"/>
  <c r="O13" i="2"/>
  <c r="P13" i="2"/>
  <c r="G44" i="2"/>
  <c r="G46" i="2" s="1"/>
  <c r="G47" i="2" s="1"/>
  <c r="E42" i="2"/>
  <c r="I42" i="2"/>
  <c r="J42" i="2"/>
  <c r="D43" i="2"/>
  <c r="E9" i="2"/>
  <c r="D10" i="2"/>
  <c r="P11" i="2"/>
  <c r="O12" i="2"/>
  <c r="I41" i="2"/>
  <c r="E10" i="2"/>
  <c r="D11" i="2"/>
  <c r="N19" i="2"/>
  <c r="O11" i="2"/>
  <c r="E43" i="2"/>
  <c r="D19" i="2" l="1"/>
  <c r="E19" i="2" s="1"/>
  <c r="B16" i="3" s="1"/>
  <c r="H47" i="2"/>
  <c r="I47" i="2" s="1"/>
  <c r="B46" i="2"/>
  <c r="B47" i="2" s="1"/>
  <c r="P19" i="2"/>
  <c r="B20" i="3" s="1"/>
  <c r="D47" i="2" l="1"/>
  <c r="B23" i="3" s="1"/>
  <c r="B24" i="3" l="1"/>
  <c r="B25" i="3" s="1"/>
  <c r="C13" i="3" s="1"/>
</calcChain>
</file>

<file path=xl/sharedStrings.xml><?xml version="1.0" encoding="utf-8"?>
<sst xmlns="http://schemas.openxmlformats.org/spreadsheetml/2006/main" count="213" uniqueCount="118">
  <si>
    <t>WATER</t>
  </si>
  <si>
    <t>Monthly Minimum</t>
  </si>
  <si>
    <t>Rate per 1,000 gallons</t>
  </si>
  <si>
    <t>Fire Line Fee</t>
  </si>
  <si>
    <t>Commercial</t>
  </si>
  <si>
    <t>Meter</t>
  </si>
  <si>
    <t>Inside</t>
  </si>
  <si>
    <t>Outside</t>
  </si>
  <si>
    <t>Size</t>
  </si>
  <si>
    <t>Industrial</t>
  </si>
  <si>
    <t>Size(in.)</t>
  </si>
  <si>
    <t>City</t>
  </si>
  <si>
    <t>Gallons</t>
  </si>
  <si>
    <t>Inches</t>
  </si>
  <si>
    <t>Fee</t>
  </si>
  <si>
    <t>Institutional</t>
  </si>
  <si>
    <t>first 2k</t>
  </si>
  <si>
    <t>MIN</t>
  </si>
  <si>
    <t>A</t>
  </si>
  <si>
    <t>Multi-Family Residential</t>
  </si>
  <si>
    <t>next 23k</t>
  </si>
  <si>
    <t>B</t>
  </si>
  <si>
    <t>Residential</t>
  </si>
  <si>
    <t>next 975k</t>
  </si>
  <si>
    <t>C</t>
  </si>
  <si>
    <t>next 4 mil</t>
  </si>
  <si>
    <t>D</t>
  </si>
  <si>
    <t>over 5 mil</t>
  </si>
  <si>
    <t>E</t>
  </si>
  <si>
    <t>SEWER</t>
  </si>
  <si>
    <t>RESIDENTIAL and COMMERCIAL</t>
  </si>
  <si>
    <t>INDUSTRIAL</t>
  </si>
  <si>
    <t>Monthly Minimums</t>
  </si>
  <si>
    <t>next 998k</t>
  </si>
  <si>
    <t>MISCELLANEOUS FEES AND CHARGES</t>
  </si>
  <si>
    <t>Connection Fee -</t>
  </si>
  <si>
    <t>(Charged for new service or when service is moved to a new address)</t>
  </si>
  <si>
    <t>After hours turn on/off Fee -</t>
  </si>
  <si>
    <t xml:space="preserve">Late Notice Fee - </t>
  </si>
  <si>
    <t>(Charged when Late Notice is sent to Processor)</t>
  </si>
  <si>
    <t xml:space="preserve">Delinquent Reconnect Fee - </t>
  </si>
  <si>
    <t>Meter Recheck Fee</t>
  </si>
  <si>
    <t>(one free in twelve month period)</t>
  </si>
  <si>
    <t>Additional Daytime Trip Fee</t>
  </si>
  <si>
    <t xml:space="preserve">Returned Check Fee - </t>
  </si>
  <si>
    <t>Meter Testing Fee -</t>
  </si>
  <si>
    <t>(customer must be present at meter test site)</t>
  </si>
  <si>
    <t>Plugging of Service Main -</t>
  </si>
  <si>
    <t>Removal of Illegal Jumper -</t>
  </si>
  <si>
    <t>Meter Removal, Meter Locked, Meter Reinstalled -</t>
  </si>
  <si>
    <t>Franchise Fee Pass Through</t>
  </si>
  <si>
    <t>(Calculated on all billed charges)</t>
  </si>
  <si>
    <t>Regulatory Compliance Fee</t>
  </si>
  <si>
    <t>Charged on all active Water and/or Sewer accounts.</t>
  </si>
  <si>
    <t>FY20 Rates</t>
  </si>
  <si>
    <t>Water Calculations for all types of customers</t>
  </si>
  <si>
    <t>Storm Water</t>
  </si>
  <si>
    <t>Range Min</t>
  </si>
  <si>
    <t>Meter Size</t>
  </si>
  <si>
    <t>Cap:</t>
  </si>
  <si>
    <t>Irrigation</t>
  </si>
  <si>
    <t>Base Rate:</t>
  </si>
  <si>
    <t>Rate that matches:</t>
  </si>
  <si>
    <t>Base Rate that Matches:</t>
  </si>
  <si>
    <t>Range Min:</t>
  </si>
  <si>
    <t>Gallon input:</t>
  </si>
  <si>
    <t>Difference:</t>
  </si>
  <si>
    <t>Additional Cost:</t>
  </si>
  <si>
    <t>Sewer Calculations for all types of customers</t>
  </si>
  <si>
    <t>Residential &amp; Commercial</t>
  </si>
  <si>
    <t>Res cap:</t>
  </si>
  <si>
    <t>Current Rates</t>
  </si>
  <si>
    <t>FY 20 Water Bill Calculations</t>
  </si>
  <si>
    <t>Monthly Water Consumption:</t>
  </si>
  <si>
    <t>Monthly Sewer Consumption:</t>
  </si>
  <si>
    <t>Type of customer:</t>
  </si>
  <si>
    <t>Meter size:</t>
  </si>
  <si>
    <t>Inside or outside city limits:</t>
  </si>
  <si>
    <t>Do you also have irrigation?</t>
  </si>
  <si>
    <t>Yes</t>
  </si>
  <si>
    <t>Do you only have irrigation?</t>
  </si>
  <si>
    <t>If so, what is your monthly consumption?</t>
  </si>
  <si>
    <t>Irrigation meter size:</t>
  </si>
  <si>
    <t>Amount you pay:</t>
  </si>
  <si>
    <t>Breakdown:</t>
  </si>
  <si>
    <t>Water Base Rate:</t>
  </si>
  <si>
    <t>Water Usage Cost:</t>
  </si>
  <si>
    <t>Sewer Base Rate:</t>
  </si>
  <si>
    <t>Sewer Usage Cost:</t>
  </si>
  <si>
    <t>Irrigation Base Rate:</t>
  </si>
  <si>
    <t>Irrigation Usage Cost:</t>
  </si>
  <si>
    <t>Regulatory Compliance:</t>
  </si>
  <si>
    <t>Water Service Fee:</t>
  </si>
  <si>
    <t>Water Quality Fee:</t>
  </si>
  <si>
    <t>Storm Water Fee:</t>
  </si>
  <si>
    <t>Water Franchise Fee:</t>
  </si>
  <si>
    <t>Governmental</t>
  </si>
  <si>
    <t>Instructions:</t>
  </si>
  <si>
    <t>Monthly water/sewer consumption:</t>
  </si>
  <si>
    <t xml:space="preserve">You can either put in an estimate, or look at your previous bills to see how much you've consumed per month in the past. It will be displayed as a per thousand amount, so you'll need to convert that. For example, if your bill says 3.4 then you'll just move the decimal place over 3 times to make it 3,400. </t>
  </si>
  <si>
    <t>Type of Customer:</t>
  </si>
  <si>
    <t>Click the drop-down menu to select what type of customer you are. This can also be found on your previous bills where it says, "Rate Class."</t>
  </si>
  <si>
    <t>Meter Size:</t>
  </si>
  <si>
    <t>The typical residential meter size is 5/8, 1, or 1 1/2. If you aren't sure, you may call the Water Business Office to ask: (903) 531-1230</t>
  </si>
  <si>
    <t>Inside or Outside the City limits:</t>
  </si>
  <si>
    <t>This is straight forward. However, if you're unsure you can check to see if you have a stormwater charge. Those outside of the city limits will not have this charge.</t>
  </si>
  <si>
    <t>Do you also have irrigation?:</t>
  </si>
  <si>
    <t xml:space="preserve">Answer yes or no. Residential customers usually do not. This is more for commercial, industrial, and institutional. </t>
  </si>
  <si>
    <t>Do you only have irrigation?:</t>
  </si>
  <si>
    <t>This is a follow-up question to the previous. It was simpler for calculations to be made if they were separated. Leave blank (_) if you do not have irrigation. For those that do, choose "no" with the option that tells us what else you have. For example, if you also have water meters, choose, "No- water".</t>
  </si>
  <si>
    <t>Remaining irrigation questions:</t>
  </si>
  <si>
    <t xml:space="preserve">Disregard these if you have answered "no" to having irrigation. It is okay if they're filled out. The calculations will not pull these numbers if you've answered "No" to the first irrigation question. </t>
  </si>
  <si>
    <t>Troubleshooting</t>
  </si>
  <si>
    <t>If Result is:</t>
  </si>
  <si>
    <t>Then Try:</t>
  </si>
  <si>
    <t>Double checking that your numbers are inputed correctly. This means making sure there aren't 2 decimal places by accident, making sure there are no letters where numbers are supposed to be, etc.</t>
  </si>
  <si>
    <t>Drop Down Lists:</t>
  </si>
  <si>
    <r>
      <t xml:space="preserve">It is important that you use the drop down arrow to select. If you try to type it in, it will give you and </t>
    </r>
    <r>
      <rPr>
        <sz val="11"/>
        <color theme="5" tint="-0.249977111117893"/>
        <rFont val="Calibri"/>
        <family val="2"/>
        <scheme val="minor"/>
      </rPr>
      <t>error message</t>
    </r>
    <r>
      <rPr>
        <sz val="11"/>
        <color theme="1"/>
        <rFont val="Calibri"/>
        <family val="2"/>
        <scheme val="minor"/>
      </rPr>
      <t xml:space="preserve"> that will tell you to select from the list. If this happens, select </t>
    </r>
    <r>
      <rPr>
        <sz val="11"/>
        <color theme="5" tint="-0.249977111117893"/>
        <rFont val="Calibri"/>
        <family val="2"/>
        <scheme val="minor"/>
      </rPr>
      <t>"Cancel"</t>
    </r>
    <r>
      <rPr>
        <sz val="11"/>
        <color theme="1"/>
        <rFont val="Calibri"/>
        <family val="2"/>
        <scheme val="minor"/>
      </rPr>
      <t xml:space="preserve"> to save you from more headache.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</si>
</sst>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0"/>
      <name val="Arial"/>
      <family val="2"/>
    </font>
    <font>
      <sz val="12"/>
      <name val="Arial"/>
      <family val="2"/>
    </font>
    <font>
      <u/>
      <sz val="12"/>
      <name val="Arial"/>
      <family val="2"/>
    </font>
    <font>
      <b/>
      <sz val="10"/>
      <name val="Arial"/>
      <family val="2"/>
    </font>
    <font>
      <b/>
      <sz val="12"/>
      <color theme="1"/>
      <name val="Calibri"/>
      <family val="2"/>
      <scheme val="minor"/>
    </font>
    <font>
      <b/>
      <sz val="14"/>
      <color theme="1"/>
      <name val="Calibri"/>
      <family val="2"/>
      <scheme val="minor"/>
    </font>
    <font>
      <sz val="8"/>
      <color theme="1"/>
      <name val="Calibri"/>
      <family val="2"/>
      <scheme val="minor"/>
    </font>
    <font>
      <b/>
      <sz val="16"/>
      <color theme="1"/>
      <name val="Calibri"/>
      <family val="2"/>
      <scheme val="minor"/>
    </font>
    <font>
      <sz val="11"/>
      <color theme="5" tint="-0.249977111117893"/>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s>
  <borders count="1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4" fillId="0" borderId="0" xfId="0" applyFont="1" applyFill="1"/>
    <xf numFmtId="0" fontId="5" fillId="0" borderId="0" xfId="0" applyFont="1" applyFill="1"/>
    <xf numFmtId="0" fontId="5"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Alignment="1">
      <alignment horizontal="center"/>
    </xf>
    <xf numFmtId="12" fontId="5" fillId="0" borderId="2" xfId="0" applyNumberFormat="1" applyFont="1" applyFill="1" applyBorder="1" applyAlignment="1">
      <alignment horizontal="center"/>
    </xf>
    <xf numFmtId="43" fontId="5" fillId="0" borderId="2" xfId="1" applyFont="1" applyFill="1" applyBorder="1" applyAlignment="1">
      <alignment horizontal="center"/>
    </xf>
    <xf numFmtId="43" fontId="5" fillId="0" borderId="2" xfId="1" applyNumberFormat="1" applyFont="1" applyFill="1" applyBorder="1" applyAlignment="1">
      <alignment horizontal="center"/>
    </xf>
    <xf numFmtId="0" fontId="5" fillId="0" borderId="0" xfId="0" applyFont="1" applyFill="1" applyAlignment="1">
      <alignment horizontal="left"/>
    </xf>
    <xf numFmtId="2" fontId="5" fillId="0" borderId="0" xfId="0" applyNumberFormat="1" applyFont="1" applyFill="1" applyAlignment="1">
      <alignment horizontal="center"/>
    </xf>
    <xf numFmtId="0" fontId="5" fillId="0" borderId="3" xfId="0" applyNumberFormat="1" applyFont="1" applyFill="1" applyBorder="1" applyAlignment="1">
      <alignment horizontal="center"/>
    </xf>
    <xf numFmtId="0" fontId="5" fillId="0" borderId="3" xfId="0" applyFont="1" applyFill="1" applyBorder="1" applyAlignment="1">
      <alignment horizontal="left"/>
    </xf>
    <xf numFmtId="2" fontId="5" fillId="0" borderId="3" xfId="2" applyNumberFormat="1" applyFont="1" applyFill="1" applyBorder="1" applyAlignment="1">
      <alignment horizontal="center"/>
    </xf>
    <xf numFmtId="2" fontId="5" fillId="0" borderId="3" xfId="1" applyNumberFormat="1" applyFont="1" applyFill="1" applyBorder="1" applyAlignment="1">
      <alignment horizontal="center"/>
    </xf>
    <xf numFmtId="0" fontId="5" fillId="0" borderId="3" xfId="0" applyFont="1" applyFill="1" applyBorder="1" applyAlignment="1">
      <alignment horizontal="center"/>
    </xf>
    <xf numFmtId="2" fontId="5" fillId="0" borderId="3" xfId="0" applyNumberFormat="1" applyFont="1" applyFill="1" applyBorder="1" applyAlignment="1">
      <alignment horizontal="center"/>
    </xf>
    <xf numFmtId="12" fontId="5" fillId="0" borderId="3" xfId="0" applyNumberFormat="1" applyFont="1" applyFill="1" applyBorder="1" applyAlignment="1">
      <alignment horizontal="center"/>
    </xf>
    <xf numFmtId="2" fontId="5" fillId="0" borderId="0" xfId="2" applyNumberFormat="1" applyFont="1" applyFill="1" applyAlignment="1">
      <alignment horizontal="center"/>
    </xf>
    <xf numFmtId="0" fontId="5" fillId="0" borderId="0" xfId="0" applyNumberFormat="1" applyFont="1" applyFill="1" applyAlignment="1">
      <alignment horizontal="center"/>
    </xf>
    <xf numFmtId="43" fontId="5" fillId="0" borderId="0" xfId="1" applyFont="1" applyFill="1" applyAlignment="1">
      <alignment horizontal="center"/>
    </xf>
    <xf numFmtId="0" fontId="0" fillId="0" borderId="0" xfId="0" applyBorder="1"/>
    <xf numFmtId="43" fontId="5" fillId="0" borderId="3" xfId="1" applyFont="1" applyFill="1" applyBorder="1" applyAlignment="1">
      <alignment horizontal="center"/>
    </xf>
    <xf numFmtId="12" fontId="4" fillId="0" borderId="0" xfId="0" applyNumberFormat="1" applyFont="1" applyFill="1" applyAlignment="1">
      <alignment horizontal="center"/>
    </xf>
    <xf numFmtId="0" fontId="4" fillId="0" borderId="0" xfId="0" applyFont="1" applyFill="1" applyAlignment="1">
      <alignment horizontal="center"/>
    </xf>
    <xf numFmtId="0" fontId="5" fillId="0" borderId="2" xfId="0" applyFont="1" applyFill="1" applyBorder="1" applyAlignment="1">
      <alignment horizontal="center"/>
    </xf>
    <xf numFmtId="12" fontId="5" fillId="0" borderId="0" xfId="0" applyNumberFormat="1" applyFont="1" applyFill="1" applyAlignment="1">
      <alignment horizontal="center"/>
    </xf>
    <xf numFmtId="0" fontId="5" fillId="0" borderId="0" xfId="0" applyFont="1" applyFill="1" applyBorder="1" applyAlignment="1">
      <alignment horizontal="center"/>
    </xf>
    <xf numFmtId="2" fontId="5" fillId="0" borderId="2" xfId="1" applyNumberFormat="1" applyFont="1" applyFill="1" applyBorder="1" applyAlignment="1">
      <alignment horizontal="center"/>
    </xf>
    <xf numFmtId="0" fontId="5" fillId="0" borderId="0" xfId="0" applyFont="1" applyFill="1" applyBorder="1" applyAlignment="1">
      <alignment horizontal="left"/>
    </xf>
    <xf numFmtId="0" fontId="5" fillId="0" borderId="2" xfId="1" applyNumberFormat="1" applyFont="1" applyFill="1" applyBorder="1" applyAlignment="1">
      <alignment horizontal="center"/>
    </xf>
    <xf numFmtId="0" fontId="5" fillId="0" borderId="2" xfId="0" applyFont="1" applyFill="1" applyBorder="1" applyAlignment="1">
      <alignment horizontal="left"/>
    </xf>
    <xf numFmtId="0" fontId="5" fillId="0" borderId="2" xfId="0" applyNumberFormat="1" applyFont="1" applyFill="1" applyBorder="1" applyAlignment="1">
      <alignment horizontal="center"/>
    </xf>
    <xf numFmtId="0" fontId="5" fillId="0" borderId="0" xfId="0" applyFont="1" applyFill="1" applyBorder="1"/>
    <xf numFmtId="0" fontId="5" fillId="0" borderId="0" xfId="0" applyFont="1" applyFill="1" applyAlignment="1"/>
    <xf numFmtId="44" fontId="5" fillId="0" borderId="0" xfId="2" applyFont="1" applyFill="1" applyAlignment="1"/>
    <xf numFmtId="44" fontId="5" fillId="0" borderId="0" xfId="2" applyFont="1" applyFill="1"/>
    <xf numFmtId="9" fontId="5" fillId="0" borderId="0" xfId="3" applyFont="1" applyFill="1" applyAlignment="1">
      <alignment horizontal="center"/>
    </xf>
    <xf numFmtId="44" fontId="5" fillId="2" borderId="0" xfId="2" applyFont="1" applyFill="1"/>
    <xf numFmtId="0" fontId="2" fillId="0" borderId="4" xfId="0" applyFont="1" applyBorder="1"/>
    <xf numFmtId="0" fontId="0" fillId="0" borderId="5" xfId="0" applyBorder="1"/>
    <xf numFmtId="0" fontId="0" fillId="0" borderId="5" xfId="0" applyBorder="1" applyAlignment="1">
      <alignment horizontal="center"/>
    </xf>
    <xf numFmtId="0" fontId="0" fillId="0" borderId="6" xfId="0" applyBorder="1"/>
    <xf numFmtId="0" fontId="0" fillId="0" borderId="8" xfId="0" applyBorder="1"/>
    <xf numFmtId="0" fontId="2" fillId="0" borderId="7" xfId="0" applyFont="1" applyBorder="1" applyAlignment="1">
      <alignment horizontal="center"/>
    </xf>
    <xf numFmtId="0" fontId="2" fillId="0" borderId="0" xfId="0" applyFont="1" applyBorder="1" applyAlignment="1">
      <alignment horizontal="center"/>
    </xf>
    <xf numFmtId="0" fontId="0" fillId="0" borderId="4" xfId="0" applyBorder="1"/>
    <xf numFmtId="164" fontId="0" fillId="0" borderId="7" xfId="1" applyNumberFormat="1" applyFont="1" applyBorder="1"/>
    <xf numFmtId="44" fontId="0" fillId="0" borderId="0" xfId="2" applyFont="1" applyBorder="1"/>
    <xf numFmtId="12" fontId="0" fillId="0" borderId="0" xfId="0" applyNumberFormat="1" applyBorder="1" applyAlignment="1">
      <alignment horizontal="center"/>
    </xf>
    <xf numFmtId="0" fontId="0" fillId="0" borderId="0" xfId="0" applyBorder="1" applyAlignment="1">
      <alignment horizontal="center"/>
    </xf>
    <xf numFmtId="44" fontId="0" fillId="0" borderId="4" xfId="2" applyFont="1" applyBorder="1"/>
    <xf numFmtId="44" fontId="0" fillId="0" borderId="6" xfId="2" applyFont="1" applyBorder="1"/>
    <xf numFmtId="0" fontId="0" fillId="0" borderId="7" xfId="0" applyFill="1" applyBorder="1"/>
    <xf numFmtId="44" fontId="0" fillId="0" borderId="7" xfId="2" applyFont="1" applyBorder="1"/>
    <xf numFmtId="44" fontId="0" fillId="0" borderId="8" xfId="2" applyFont="1" applyBorder="1"/>
    <xf numFmtId="44" fontId="0" fillId="0" borderId="9" xfId="2" applyFont="1" applyBorder="1"/>
    <xf numFmtId="44" fontId="0" fillId="0" borderId="10" xfId="2" applyFont="1" applyBorder="1"/>
    <xf numFmtId="0" fontId="0" fillId="0" borderId="9" xfId="0" applyFill="1" applyBorder="1"/>
    <xf numFmtId="0" fontId="0" fillId="0" borderId="10" xfId="0" applyBorder="1"/>
    <xf numFmtId="0" fontId="0" fillId="0" borderId="7" xfId="0" applyBorder="1"/>
    <xf numFmtId="43" fontId="0" fillId="0" borderId="4" xfId="1" applyFont="1" applyBorder="1"/>
    <xf numFmtId="43" fontId="0" fillId="0" borderId="6" xfId="1" applyFont="1" applyBorder="1"/>
    <xf numFmtId="43" fontId="0" fillId="0" borderId="7" xfId="1" applyFont="1" applyBorder="1"/>
    <xf numFmtId="43" fontId="0" fillId="0" borderId="8" xfId="1" applyFont="1" applyBorder="1"/>
    <xf numFmtId="2" fontId="0" fillId="0" borderId="0" xfId="0" applyNumberFormat="1" applyBorder="1" applyAlignment="1">
      <alignment horizontal="center"/>
    </xf>
    <xf numFmtId="0" fontId="0" fillId="3" borderId="0" xfId="0" applyFill="1"/>
    <xf numFmtId="43" fontId="0" fillId="0" borderId="9" xfId="1" applyFont="1" applyBorder="1"/>
    <xf numFmtId="43" fontId="0" fillId="0" borderId="10" xfId="1" applyFont="1" applyBorder="1"/>
    <xf numFmtId="2" fontId="0" fillId="0" borderId="0" xfId="0" applyNumberFormat="1" applyAlignment="1">
      <alignment horizontal="left"/>
    </xf>
    <xf numFmtId="0" fontId="0" fillId="0" borderId="9" xfId="0" applyBorder="1"/>
    <xf numFmtId="44" fontId="2" fillId="0" borderId="0" xfId="2" applyFont="1" applyBorder="1"/>
    <xf numFmtId="0" fontId="2" fillId="0" borderId="0" xfId="0" applyFont="1" applyBorder="1"/>
    <xf numFmtId="0" fontId="2" fillId="0" borderId="7" xfId="0" applyFont="1" applyBorder="1" applyAlignment="1"/>
    <xf numFmtId="0" fontId="0" fillId="0" borderId="0" xfId="0" applyBorder="1" applyAlignment="1">
      <alignment horizontal="right"/>
    </xf>
    <xf numFmtId="164" fontId="0" fillId="0" borderId="0" xfId="1" applyNumberFormat="1" applyFont="1" applyBorder="1"/>
    <xf numFmtId="164" fontId="0" fillId="0" borderId="2" xfId="1" applyNumberFormat="1" applyFont="1" applyBorder="1"/>
    <xf numFmtId="164" fontId="0" fillId="0" borderId="0" xfId="0" applyNumberFormat="1" applyBorder="1"/>
    <xf numFmtId="0" fontId="2" fillId="0" borderId="0" xfId="0" applyFont="1" applyBorder="1" applyAlignment="1">
      <alignment horizontal="right"/>
    </xf>
    <xf numFmtId="44" fontId="0" fillId="0" borderId="11" xfId="2" applyFont="1" applyBorder="1"/>
    <xf numFmtId="43" fontId="1" fillId="0" borderId="0" xfId="1" applyFont="1" applyBorder="1"/>
    <xf numFmtId="44" fontId="2" fillId="4" borderId="11" xfId="0" applyNumberFormat="1" applyFont="1" applyFill="1" applyBorder="1"/>
    <xf numFmtId="0" fontId="0" fillId="0" borderId="2" xfId="0" applyBorder="1"/>
    <xf numFmtId="0" fontId="0" fillId="0" borderId="2" xfId="0" applyBorder="1" applyAlignment="1">
      <alignment horizontal="center"/>
    </xf>
    <xf numFmtId="12" fontId="0" fillId="0" borderId="7" xfId="0" applyNumberFormat="1" applyBorder="1" applyAlignment="1">
      <alignment horizontal="center"/>
    </xf>
    <xf numFmtId="0" fontId="0" fillId="0" borderId="7" xfId="0" applyBorder="1" applyAlignment="1">
      <alignment horizontal="center"/>
    </xf>
    <xf numFmtId="43" fontId="0" fillId="0" borderId="0" xfId="1" applyFont="1" applyFill="1" applyBorder="1" applyAlignment="1">
      <alignment horizontal="center"/>
    </xf>
    <xf numFmtId="43" fontId="0" fillId="0" borderId="0" xfId="1" applyFont="1" applyBorder="1"/>
    <xf numFmtId="0" fontId="0" fillId="0" borderId="0" xfId="0" applyFill="1" applyBorder="1"/>
    <xf numFmtId="43" fontId="2" fillId="0" borderId="0" xfId="0" applyNumberFormat="1" applyFont="1" applyBorder="1"/>
    <xf numFmtId="0" fontId="2" fillId="0" borderId="4" xfId="0" applyFont="1" applyBorder="1" applyAlignment="1">
      <alignment horizontal="center"/>
    </xf>
    <xf numFmtId="0" fontId="2" fillId="0" borderId="6" xfId="0" applyFont="1" applyBorder="1" applyAlignment="1">
      <alignment horizontal="center"/>
    </xf>
    <xf numFmtId="44" fontId="0" fillId="0" borderId="7" xfId="0" applyNumberFormat="1" applyBorder="1"/>
    <xf numFmtId="44" fontId="0" fillId="0" borderId="8" xfId="0" applyNumberFormat="1" applyBorder="1"/>
    <xf numFmtId="44" fontId="0" fillId="0" borderId="4" xfId="0" applyNumberFormat="1" applyBorder="1"/>
    <xf numFmtId="44" fontId="0" fillId="0" borderId="6" xfId="0" applyNumberFormat="1" applyBorder="1"/>
    <xf numFmtId="44" fontId="0" fillId="0" borderId="9" xfId="0" applyNumberFormat="1" applyBorder="1"/>
    <xf numFmtId="44" fontId="0" fillId="0" borderId="10" xfId="0" applyNumberFormat="1" applyBorder="1"/>
    <xf numFmtId="0" fontId="2" fillId="0" borderId="0" xfId="0" applyFont="1" applyBorder="1" applyAlignment="1"/>
    <xf numFmtId="0" fontId="2" fillId="0" borderId="7" xfId="0" applyFont="1" applyBorder="1" applyAlignment="1">
      <alignment horizontal="right"/>
    </xf>
    <xf numFmtId="44" fontId="0" fillId="0" borderId="11" xfId="2" applyFont="1" applyFill="1" applyBorder="1"/>
    <xf numFmtId="43" fontId="0" fillId="0" borderId="0" xfId="0" applyNumberFormat="1" applyBorder="1"/>
    <xf numFmtId="43" fontId="2" fillId="5" borderId="0" xfId="0" applyNumberFormat="1" applyFont="1" applyFill="1" applyBorder="1"/>
    <xf numFmtId="0" fontId="0" fillId="0" borderId="0" xfId="0" applyAlignment="1">
      <alignment horizontal="center"/>
    </xf>
    <xf numFmtId="164" fontId="0" fillId="6" borderId="6" xfId="1" applyNumberFormat="1" applyFont="1" applyFill="1" applyBorder="1" applyAlignment="1">
      <alignment horizontal="right" vertical="center"/>
    </xf>
    <xf numFmtId="164" fontId="0" fillId="6" borderId="8" xfId="1" applyNumberFormat="1" applyFont="1" applyFill="1" applyBorder="1" applyAlignment="1">
      <alignment horizontal="right" vertical="center"/>
    </xf>
    <xf numFmtId="164" fontId="0" fillId="6" borderId="8" xfId="1" applyNumberFormat="1" applyFont="1" applyFill="1" applyBorder="1" applyAlignment="1">
      <alignment horizontal="right"/>
    </xf>
    <xf numFmtId="0" fontId="0" fillId="6" borderId="8" xfId="0" applyFill="1" applyBorder="1" applyAlignment="1">
      <alignment horizontal="right"/>
    </xf>
    <xf numFmtId="0" fontId="0" fillId="6" borderId="10" xfId="0" applyFill="1" applyBorder="1" applyAlignment="1">
      <alignment horizontal="right"/>
    </xf>
    <xf numFmtId="44" fontId="2" fillId="7" borderId="6" xfId="0" applyNumberFormat="1" applyFont="1" applyFill="1" applyBorder="1"/>
    <xf numFmtId="0" fontId="10" fillId="0" borderId="8" xfId="0" applyFont="1" applyBorder="1"/>
    <xf numFmtId="0" fontId="2" fillId="0" borderId="0" xfId="0" applyFont="1"/>
    <xf numFmtId="12" fontId="5" fillId="0" borderId="2" xfId="0" applyNumberFormat="1" applyFont="1" applyFill="1" applyBorder="1" applyAlignment="1">
      <alignment horizontal="center"/>
    </xf>
    <xf numFmtId="0" fontId="5" fillId="0" borderId="2" xfId="0" applyFont="1" applyFill="1" applyBorder="1" applyAlignment="1">
      <alignment horizontal="center"/>
    </xf>
    <xf numFmtId="0" fontId="3" fillId="0" borderId="1" xfId="0" applyFont="1" applyFill="1" applyBorder="1" applyAlignment="1">
      <alignment horizontal="left"/>
    </xf>
    <xf numFmtId="12" fontId="7" fillId="0" borderId="2" xfId="0" applyNumberFormat="1" applyFont="1" applyFill="1" applyBorder="1" applyAlignment="1">
      <alignment horizontal="center"/>
    </xf>
    <xf numFmtId="0" fontId="7" fillId="0" borderId="2" xfId="0" applyFont="1" applyFill="1" applyBorder="1" applyAlignment="1">
      <alignment horizontal="center"/>
    </xf>
    <xf numFmtId="12" fontId="3" fillId="0" borderId="1" xfId="0" applyNumberFormat="1" applyFont="1" applyFill="1" applyBorder="1" applyAlignment="1">
      <alignment horizontal="left"/>
    </xf>
    <xf numFmtId="0" fontId="8" fillId="0" borderId="7" xfId="0" applyFont="1" applyBorder="1" applyAlignment="1">
      <alignment horizontal="center"/>
    </xf>
    <xf numFmtId="0" fontId="8" fillId="0" borderId="0"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right"/>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0" fillId="0" borderId="7" xfId="0" applyBorder="1" applyAlignment="1">
      <alignment horizontal="left"/>
    </xf>
    <xf numFmtId="0" fontId="0" fillId="0" borderId="0" xfId="0" applyBorder="1" applyAlignment="1">
      <alignment horizontal="left"/>
    </xf>
    <xf numFmtId="0" fontId="2" fillId="0" borderId="9"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9" fillId="0" borderId="0" xfId="0" applyFont="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11" fillId="0" borderId="2" xfId="0" applyFont="1" applyBorder="1" applyAlignment="1">
      <alignment horizontal="center"/>
    </xf>
    <xf numFmtId="0" fontId="0" fillId="0" borderId="2" xfId="0" applyBorder="1" applyAlignment="1">
      <alignment horizontal="left" vertical="center"/>
    </xf>
    <xf numFmtId="0" fontId="0" fillId="0" borderId="2" xfId="0" applyBorder="1" applyAlignment="1">
      <alignment horizontal="center" wrapText="1"/>
    </xf>
    <xf numFmtId="0" fontId="0" fillId="0" borderId="3" xfId="0" applyBorder="1" applyAlignment="1">
      <alignment vertical="center"/>
    </xf>
    <xf numFmtId="0" fontId="0" fillId="0" borderId="3" xfId="0" applyBorder="1" applyAlignment="1">
      <alignment horizontal="center" wrapText="1"/>
    </xf>
    <xf numFmtId="0" fontId="0" fillId="0" borderId="3" xfId="0" applyBorder="1" applyAlignment="1">
      <alignment horizontal="left" vertical="center"/>
    </xf>
    <xf numFmtId="0" fontId="2" fillId="0" borderId="3" xfId="0" applyFont="1" applyBorder="1" applyAlignment="1">
      <alignment horizontal="center"/>
    </xf>
    <xf numFmtId="0" fontId="2" fillId="0" borderId="3" xfId="0" applyFont="1" applyBorder="1" applyAlignment="1">
      <alignment horizontal="left"/>
    </xf>
    <xf numFmtId="0" fontId="0" fillId="0" borderId="5" xfId="0" applyBorder="1" applyAlignment="1">
      <alignment horizontal="center" vertical="center"/>
    </xf>
    <xf numFmtId="0" fontId="0" fillId="0" borderId="5" xfId="0" applyBorder="1" applyAlignment="1">
      <alignment horizontal="center" wrapText="1"/>
    </xf>
    <xf numFmtId="0" fontId="0" fillId="0" borderId="2"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lculating%20water%20bills%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1 Declining Data"/>
      <sheetName val="FY21 Inclining Data"/>
      <sheetName val="Results"/>
      <sheetName val="Instructions"/>
    </sheetNames>
    <sheetDataSet>
      <sheetData sheetId="0"/>
      <sheetData sheetId="1"/>
      <sheetData sheetId="2">
        <row r="6">
          <cell r="C6">
            <v>1.5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workbookViewId="0">
      <selection activeCell="Q8" sqref="Q8"/>
    </sheetView>
  </sheetViews>
  <sheetFormatPr defaultRowHeight="15" x14ac:dyDescent="0.25"/>
  <cols>
    <col min="2" max="3" width="9.7109375" bestFit="1" customWidth="1"/>
    <col min="4" max="4" width="11" bestFit="1" customWidth="1"/>
    <col min="6" max="6" width="11" bestFit="1" customWidth="1"/>
    <col min="17" max="17" width="23.140625" bestFit="1" customWidth="1"/>
    <col min="18" max="18" width="12.140625" bestFit="1" customWidth="1"/>
    <col min="19" max="19" width="11.28515625" bestFit="1" customWidth="1"/>
    <col min="20" max="20" width="9.42578125" bestFit="1" customWidth="1"/>
    <col min="21" max="21" width="11.85546875" bestFit="1" customWidth="1"/>
    <col min="22" max="22" width="22.42578125" bestFit="1" customWidth="1"/>
  </cols>
  <sheetData>
    <row r="1" spans="1:24" ht="16.5" thickBot="1" x14ac:dyDescent="0.3">
      <c r="A1" s="114" t="s">
        <v>0</v>
      </c>
      <c r="B1" s="114"/>
      <c r="C1" s="114"/>
      <c r="D1" s="114"/>
      <c r="E1" s="114"/>
      <c r="F1" s="114"/>
      <c r="G1" s="114"/>
      <c r="H1" s="114"/>
      <c r="I1" s="114"/>
      <c r="J1" s="114"/>
      <c r="K1" s="114"/>
      <c r="L1" s="114"/>
      <c r="M1" s="114"/>
      <c r="N1" s="114"/>
      <c r="O1" s="114"/>
    </row>
    <row r="2" spans="1:24" x14ac:dyDescent="0.25">
      <c r="A2" s="1"/>
      <c r="B2" s="1"/>
      <c r="C2" s="1"/>
      <c r="D2" s="1"/>
      <c r="E2" s="1"/>
      <c r="F2" s="1"/>
      <c r="G2" s="1"/>
      <c r="H2" s="1"/>
      <c r="I2" s="1"/>
      <c r="J2" s="1"/>
      <c r="K2" s="1"/>
      <c r="L2" s="1"/>
      <c r="M2" s="1"/>
      <c r="N2" s="1"/>
      <c r="O2" s="1"/>
    </row>
    <row r="3" spans="1:24" ht="15.75" x14ac:dyDescent="0.25">
      <c r="A3" s="113" t="s">
        <v>1</v>
      </c>
      <c r="B3" s="113"/>
      <c r="C3" s="113"/>
      <c r="D3" s="2"/>
      <c r="E3" s="113" t="s">
        <v>2</v>
      </c>
      <c r="F3" s="113"/>
      <c r="G3" s="113"/>
      <c r="H3" s="2"/>
      <c r="I3" s="2"/>
      <c r="J3" s="2"/>
      <c r="K3" s="2"/>
      <c r="L3" s="113" t="s">
        <v>3</v>
      </c>
      <c r="M3" s="113"/>
      <c r="N3" s="113"/>
      <c r="O3" s="2"/>
      <c r="Q3" t="s">
        <v>4</v>
      </c>
    </row>
    <row r="4" spans="1:24" ht="15.75" x14ac:dyDescent="0.25">
      <c r="A4" s="3" t="s">
        <v>5</v>
      </c>
      <c r="B4" s="3" t="s">
        <v>6</v>
      </c>
      <c r="C4" s="3" t="s">
        <v>7</v>
      </c>
      <c r="D4" s="3"/>
      <c r="E4" s="3"/>
      <c r="F4" s="3" t="s">
        <v>6</v>
      </c>
      <c r="G4" s="3" t="s">
        <v>7</v>
      </c>
      <c r="H4" s="3"/>
      <c r="I4" s="3"/>
      <c r="J4" s="3"/>
      <c r="K4" s="3"/>
      <c r="L4" s="3" t="s">
        <v>8</v>
      </c>
      <c r="M4" s="3"/>
      <c r="N4" s="3"/>
      <c r="O4" s="2"/>
      <c r="Q4" t="s">
        <v>9</v>
      </c>
    </row>
    <row r="5" spans="1:24" ht="15.75" x14ac:dyDescent="0.25">
      <c r="A5" s="4" t="s">
        <v>10</v>
      </c>
      <c r="B5" s="5" t="s">
        <v>11</v>
      </c>
      <c r="C5" s="5" t="s">
        <v>11</v>
      </c>
      <c r="D5" s="3"/>
      <c r="E5" s="5" t="s">
        <v>12</v>
      </c>
      <c r="F5" s="5" t="s">
        <v>11</v>
      </c>
      <c r="G5" s="5" t="s">
        <v>11</v>
      </c>
      <c r="H5" s="3"/>
      <c r="I5" s="3"/>
      <c r="J5" s="3"/>
      <c r="K5" s="3"/>
      <c r="L5" s="5" t="s">
        <v>13</v>
      </c>
      <c r="M5" s="3"/>
      <c r="N5" s="5" t="s">
        <v>14</v>
      </c>
      <c r="O5" s="2"/>
      <c r="Q5" t="s">
        <v>15</v>
      </c>
    </row>
    <row r="6" spans="1:24" ht="15.75" x14ac:dyDescent="0.25">
      <c r="A6" s="6">
        <v>0.625</v>
      </c>
      <c r="B6" s="7">
        <v>15.8</v>
      </c>
      <c r="C6" s="8">
        <v>23.7</v>
      </c>
      <c r="D6" s="3"/>
      <c r="E6" s="9" t="s">
        <v>16</v>
      </c>
      <c r="F6" s="3" t="s">
        <v>17</v>
      </c>
      <c r="G6" s="3" t="s">
        <v>17</v>
      </c>
      <c r="H6" s="3"/>
      <c r="I6" s="3"/>
      <c r="J6" s="3"/>
      <c r="K6" s="3"/>
      <c r="L6" s="3">
        <v>4</v>
      </c>
      <c r="M6" s="3" t="s">
        <v>18</v>
      </c>
      <c r="N6" s="10">
        <v>9.8279999999999994</v>
      </c>
      <c r="O6" s="2"/>
      <c r="Q6" t="s">
        <v>19</v>
      </c>
    </row>
    <row r="7" spans="1:24" ht="15.75" x14ac:dyDescent="0.25">
      <c r="A7" s="11">
        <v>1</v>
      </c>
      <c r="B7" s="7">
        <v>15.8</v>
      </c>
      <c r="C7" s="8">
        <v>23.7</v>
      </c>
      <c r="D7" s="3"/>
      <c r="E7" s="12" t="s">
        <v>20</v>
      </c>
      <c r="F7" s="13">
        <v>3.4</v>
      </c>
      <c r="G7" s="14">
        <v>5.0999999999999996</v>
      </c>
      <c r="H7" s="3"/>
      <c r="I7" s="3"/>
      <c r="J7" s="3"/>
      <c r="K7" s="3"/>
      <c r="L7" s="15">
        <v>6</v>
      </c>
      <c r="M7" s="15" t="s">
        <v>21</v>
      </c>
      <c r="N7" s="16">
        <v>21.493499999999997</v>
      </c>
      <c r="O7" s="2"/>
      <c r="Q7" t="s">
        <v>22</v>
      </c>
    </row>
    <row r="8" spans="1:24" ht="15.75" x14ac:dyDescent="0.25">
      <c r="A8" s="17">
        <v>1.5</v>
      </c>
      <c r="B8" s="7">
        <v>15.8</v>
      </c>
      <c r="C8" s="8">
        <v>23.7</v>
      </c>
      <c r="D8" s="3"/>
      <c r="E8" s="9" t="s">
        <v>23</v>
      </c>
      <c r="F8" s="18">
        <v>2.29</v>
      </c>
      <c r="G8" s="14">
        <v>3.44</v>
      </c>
      <c r="H8" s="3"/>
      <c r="I8" s="3"/>
      <c r="J8" s="3"/>
      <c r="K8" s="3"/>
      <c r="L8" s="3">
        <v>8</v>
      </c>
      <c r="M8" s="3" t="s">
        <v>24</v>
      </c>
      <c r="N8" s="10">
        <v>40.855499999999999</v>
      </c>
      <c r="O8" s="2"/>
      <c r="Q8" t="s">
        <v>96</v>
      </c>
    </row>
    <row r="9" spans="1:24" ht="15.75" x14ac:dyDescent="0.25">
      <c r="A9" s="19">
        <v>2</v>
      </c>
      <c r="B9" s="20">
        <v>18.5</v>
      </c>
      <c r="C9" s="8">
        <v>27.75</v>
      </c>
      <c r="D9" s="3"/>
      <c r="E9" s="12" t="s">
        <v>25</v>
      </c>
      <c r="F9" s="13">
        <v>1.9</v>
      </c>
      <c r="G9" s="14">
        <v>2.85</v>
      </c>
      <c r="H9" s="3"/>
      <c r="I9" s="3"/>
      <c r="J9" s="3"/>
      <c r="K9" s="3"/>
      <c r="L9" s="15">
        <v>10</v>
      </c>
      <c r="M9" s="15" t="s">
        <v>26</v>
      </c>
      <c r="N9" s="16">
        <v>97.555499999999995</v>
      </c>
      <c r="O9" s="2"/>
      <c r="W9" s="21"/>
      <c r="X9" s="21"/>
    </row>
    <row r="10" spans="1:24" ht="15.75" x14ac:dyDescent="0.25">
      <c r="A10" s="11">
        <v>3</v>
      </c>
      <c r="B10" s="22">
        <v>21.4</v>
      </c>
      <c r="C10" s="8">
        <v>32.1</v>
      </c>
      <c r="D10" s="3"/>
      <c r="E10" s="12" t="s">
        <v>27</v>
      </c>
      <c r="F10" s="13">
        <v>1.83</v>
      </c>
      <c r="G10" s="14">
        <v>2.75</v>
      </c>
      <c r="H10" s="3"/>
      <c r="I10" s="3"/>
      <c r="J10" s="3"/>
      <c r="K10" s="3"/>
      <c r="L10" s="15">
        <v>12</v>
      </c>
      <c r="M10" s="15" t="s">
        <v>28</v>
      </c>
      <c r="N10" s="16">
        <v>104.85299999999999</v>
      </c>
      <c r="O10" s="2"/>
      <c r="W10" s="21"/>
      <c r="X10" s="21"/>
    </row>
    <row r="11" spans="1:24" ht="15.75" x14ac:dyDescent="0.25">
      <c r="A11" s="19">
        <v>4</v>
      </c>
      <c r="B11" s="20">
        <v>32.5</v>
      </c>
      <c r="C11" s="8">
        <v>48.75</v>
      </c>
      <c r="D11" s="3"/>
      <c r="E11" s="3"/>
      <c r="F11" s="3"/>
      <c r="G11" s="3"/>
      <c r="H11" s="3"/>
      <c r="I11" s="3"/>
      <c r="J11" s="3"/>
      <c r="K11" s="3"/>
      <c r="L11" s="3"/>
      <c r="M11" s="3"/>
      <c r="N11" s="3"/>
      <c r="O11" s="3"/>
      <c r="W11" s="21"/>
      <c r="X11" s="21"/>
    </row>
    <row r="12" spans="1:24" ht="15.75" x14ac:dyDescent="0.25">
      <c r="A12" s="11">
        <v>6</v>
      </c>
      <c r="B12" s="22">
        <v>48</v>
      </c>
      <c r="C12" s="8">
        <v>72</v>
      </c>
      <c r="D12" s="3"/>
      <c r="E12" s="3"/>
      <c r="F12" s="3"/>
      <c r="G12" s="3"/>
      <c r="H12" s="3"/>
      <c r="I12" s="3"/>
      <c r="J12" s="3"/>
      <c r="K12" s="3"/>
      <c r="L12" s="3"/>
      <c r="M12" s="3"/>
      <c r="N12" s="3"/>
      <c r="O12" s="3"/>
      <c r="R12" s="21"/>
      <c r="S12" s="21"/>
      <c r="T12" s="21"/>
      <c r="U12" s="21"/>
      <c r="V12" s="21"/>
      <c r="W12" s="21"/>
      <c r="X12" s="21"/>
    </row>
    <row r="13" spans="1:24" ht="15.75" x14ac:dyDescent="0.25">
      <c r="A13" s="19">
        <v>8</v>
      </c>
      <c r="B13" s="20">
        <v>34.6</v>
      </c>
      <c r="C13" s="8">
        <v>51.9</v>
      </c>
      <c r="D13" s="3"/>
      <c r="E13" s="3"/>
      <c r="F13" s="3"/>
      <c r="G13" s="3"/>
      <c r="H13" s="3"/>
      <c r="I13" s="10"/>
      <c r="J13" s="3"/>
      <c r="K13" s="3"/>
      <c r="L13" s="3"/>
      <c r="M13" s="3"/>
      <c r="N13" s="3"/>
      <c r="O13" s="3"/>
      <c r="R13" s="21"/>
      <c r="S13" s="21"/>
      <c r="T13" s="21"/>
      <c r="U13" s="21"/>
      <c r="V13" s="21"/>
      <c r="W13" s="21"/>
      <c r="X13" s="21"/>
    </row>
    <row r="14" spans="1:24" ht="15.75" x14ac:dyDescent="0.25">
      <c r="A14" s="11">
        <v>10</v>
      </c>
      <c r="B14" s="22">
        <v>91.3</v>
      </c>
      <c r="C14" s="8">
        <v>136.94999999999999</v>
      </c>
      <c r="D14" s="3"/>
      <c r="E14" s="3"/>
      <c r="F14" s="3"/>
      <c r="G14" s="3"/>
      <c r="H14" s="3"/>
      <c r="I14" s="10"/>
      <c r="J14" s="3"/>
      <c r="K14" s="3"/>
      <c r="L14" s="3"/>
      <c r="M14" s="3"/>
      <c r="N14" s="3"/>
      <c r="O14" s="3"/>
      <c r="R14" s="21"/>
      <c r="S14" s="21"/>
      <c r="T14" s="21"/>
      <c r="U14" s="21"/>
      <c r="V14" s="21"/>
      <c r="W14" s="21"/>
      <c r="X14" s="21"/>
    </row>
    <row r="15" spans="1:24" ht="15.75" x14ac:dyDescent="0.25">
      <c r="A15" s="11">
        <v>12</v>
      </c>
      <c r="B15" s="22">
        <v>117.9</v>
      </c>
      <c r="C15" s="8">
        <v>176.85</v>
      </c>
      <c r="D15" s="3"/>
      <c r="E15" s="3"/>
      <c r="F15" s="3"/>
      <c r="G15" s="3"/>
      <c r="H15" s="3"/>
      <c r="I15" s="3"/>
      <c r="J15" s="3"/>
      <c r="K15" s="3"/>
      <c r="L15" s="3"/>
      <c r="M15" s="3"/>
      <c r="N15" s="3"/>
      <c r="O15" s="3"/>
      <c r="R15" s="21"/>
      <c r="S15" s="21"/>
      <c r="T15" s="21"/>
      <c r="U15" s="21"/>
      <c r="V15" s="21"/>
      <c r="W15" s="21"/>
      <c r="X15" s="21"/>
    </row>
    <row r="16" spans="1:24" x14ac:dyDescent="0.25">
      <c r="A16" s="23"/>
      <c r="B16" s="24"/>
      <c r="C16" s="24"/>
      <c r="D16" s="24"/>
      <c r="E16" s="24"/>
      <c r="F16" s="24"/>
      <c r="G16" s="24"/>
      <c r="H16" s="24"/>
      <c r="I16" s="24"/>
      <c r="J16" s="24"/>
      <c r="K16" s="24"/>
      <c r="L16" s="24"/>
      <c r="M16" s="24"/>
      <c r="N16" s="24"/>
      <c r="O16" s="24"/>
      <c r="R16" s="21"/>
      <c r="S16" s="21"/>
      <c r="T16" s="21"/>
      <c r="U16" s="21"/>
      <c r="V16" s="21"/>
      <c r="W16" s="21"/>
      <c r="X16" s="21"/>
    </row>
    <row r="17" spans="1:24" ht="16.5" thickBot="1" x14ac:dyDescent="0.3">
      <c r="A17" s="117" t="s">
        <v>29</v>
      </c>
      <c r="B17" s="117"/>
      <c r="C17" s="117"/>
      <c r="D17" s="117"/>
      <c r="E17" s="117"/>
      <c r="F17" s="117"/>
      <c r="G17" s="117"/>
      <c r="H17" s="117"/>
      <c r="I17" s="117"/>
      <c r="J17" s="117"/>
      <c r="K17" s="117"/>
      <c r="L17" s="117"/>
      <c r="M17" s="117"/>
      <c r="N17" s="117"/>
      <c r="O17" s="117"/>
      <c r="R17" s="21"/>
      <c r="S17" s="21"/>
      <c r="T17" s="21"/>
      <c r="U17" s="21"/>
      <c r="V17" s="21"/>
      <c r="W17" s="21"/>
      <c r="X17" s="21"/>
    </row>
    <row r="18" spans="1:24" x14ac:dyDescent="0.25">
      <c r="A18" s="23"/>
      <c r="B18" s="24"/>
      <c r="C18" s="24"/>
      <c r="D18" s="24"/>
      <c r="E18" s="24"/>
      <c r="F18" s="24"/>
      <c r="G18" s="24"/>
      <c r="H18" s="24"/>
      <c r="I18" s="24"/>
      <c r="J18" s="24"/>
      <c r="K18" s="24"/>
      <c r="L18" s="24"/>
      <c r="M18" s="24"/>
      <c r="N18" s="24"/>
      <c r="O18" s="24"/>
      <c r="R18" s="21"/>
      <c r="S18" s="21"/>
      <c r="T18" s="21"/>
      <c r="U18" s="21"/>
      <c r="V18" s="21"/>
      <c r="W18" s="21"/>
      <c r="X18" s="21"/>
    </row>
    <row r="19" spans="1:24" x14ac:dyDescent="0.25">
      <c r="A19" s="115" t="s">
        <v>30</v>
      </c>
      <c r="B19" s="115"/>
      <c r="C19" s="115"/>
      <c r="D19" s="115"/>
      <c r="E19" s="115"/>
      <c r="F19" s="115"/>
      <c r="G19" s="115"/>
      <c r="H19" s="116" t="s">
        <v>31</v>
      </c>
      <c r="I19" s="116"/>
      <c r="J19" s="116"/>
      <c r="K19" s="116"/>
      <c r="L19" s="116"/>
      <c r="M19" s="116"/>
      <c r="N19" s="116"/>
      <c r="O19" s="116"/>
      <c r="R19" s="21"/>
      <c r="S19" s="21"/>
      <c r="T19" s="21"/>
      <c r="U19" s="21"/>
      <c r="V19" s="21"/>
      <c r="W19" s="21"/>
      <c r="X19" s="21"/>
    </row>
    <row r="20" spans="1:24" x14ac:dyDescent="0.25">
      <c r="A20" s="23"/>
      <c r="B20" s="24"/>
      <c r="C20" s="24"/>
      <c r="D20" s="24"/>
      <c r="E20" s="24"/>
      <c r="F20" s="24"/>
      <c r="G20" s="24"/>
      <c r="H20" s="24"/>
      <c r="I20" s="24"/>
      <c r="J20" s="24"/>
      <c r="K20" s="24"/>
      <c r="L20" s="24"/>
      <c r="M20" s="24"/>
      <c r="N20" s="24"/>
      <c r="O20" s="24"/>
      <c r="R20" s="21"/>
      <c r="S20" s="21"/>
      <c r="T20" s="21"/>
      <c r="U20" s="21"/>
      <c r="V20" s="21"/>
      <c r="W20" s="21"/>
    </row>
    <row r="21" spans="1:24" ht="15.75" x14ac:dyDescent="0.25">
      <c r="A21" s="112" t="s">
        <v>1</v>
      </c>
      <c r="B21" s="112"/>
      <c r="C21" s="112"/>
      <c r="D21" s="3"/>
      <c r="E21" s="113" t="s">
        <v>2</v>
      </c>
      <c r="F21" s="113"/>
      <c r="G21" s="113"/>
      <c r="H21" s="3"/>
      <c r="I21" s="113" t="s">
        <v>32</v>
      </c>
      <c r="J21" s="113"/>
      <c r="K21" s="113"/>
      <c r="L21" s="25"/>
      <c r="M21" s="113" t="s">
        <v>2</v>
      </c>
      <c r="N21" s="113"/>
      <c r="O21" s="113"/>
    </row>
    <row r="22" spans="1:24" ht="15.75" x14ac:dyDescent="0.25">
      <c r="A22" s="26" t="s">
        <v>5</v>
      </c>
      <c r="B22" s="3" t="s">
        <v>6</v>
      </c>
      <c r="C22" s="3" t="s">
        <v>7</v>
      </c>
      <c r="D22" s="3"/>
      <c r="E22" s="27"/>
      <c r="F22" s="27" t="s">
        <v>6</v>
      </c>
      <c r="G22" s="27" t="s">
        <v>7</v>
      </c>
      <c r="H22" s="3"/>
      <c r="I22" s="26" t="s">
        <v>5</v>
      </c>
      <c r="J22" s="3" t="s">
        <v>6</v>
      </c>
      <c r="K22" s="3" t="s">
        <v>7</v>
      </c>
      <c r="L22" s="3"/>
      <c r="M22" s="3"/>
      <c r="N22" s="3" t="s">
        <v>6</v>
      </c>
      <c r="O22" s="3" t="s">
        <v>7</v>
      </c>
    </row>
    <row r="23" spans="1:24" ht="15.75" x14ac:dyDescent="0.25">
      <c r="A23" s="4" t="s">
        <v>10</v>
      </c>
      <c r="B23" s="5" t="s">
        <v>11</v>
      </c>
      <c r="C23" s="5" t="s">
        <v>11</v>
      </c>
      <c r="D23" s="3"/>
      <c r="E23" s="4" t="s">
        <v>12</v>
      </c>
      <c r="F23" s="4" t="s">
        <v>11</v>
      </c>
      <c r="G23" s="4" t="s">
        <v>11</v>
      </c>
      <c r="H23" s="3"/>
      <c r="I23" s="4" t="s">
        <v>10</v>
      </c>
      <c r="J23" s="5" t="s">
        <v>11</v>
      </c>
      <c r="K23" s="5" t="s">
        <v>11</v>
      </c>
      <c r="L23" s="5"/>
      <c r="M23" s="5" t="s">
        <v>12</v>
      </c>
      <c r="N23" s="5" t="s">
        <v>11</v>
      </c>
      <c r="O23" s="5" t="s">
        <v>11</v>
      </c>
    </row>
    <row r="24" spans="1:24" ht="15.75" x14ac:dyDescent="0.25">
      <c r="A24" s="6">
        <v>0.625</v>
      </c>
      <c r="B24" s="28">
        <v>19.100000000000001</v>
      </c>
      <c r="C24" s="28">
        <f>B24*1.5</f>
        <v>28.650000000000002</v>
      </c>
      <c r="D24" s="3"/>
      <c r="E24" s="29" t="s">
        <v>16</v>
      </c>
      <c r="F24" s="25" t="s">
        <v>17</v>
      </c>
      <c r="G24" s="25" t="s">
        <v>17</v>
      </c>
      <c r="H24" s="3"/>
      <c r="I24" s="6">
        <v>0.625</v>
      </c>
      <c r="J24" s="30">
        <v>84</v>
      </c>
      <c r="K24" s="28">
        <v>126</v>
      </c>
      <c r="L24" s="27"/>
      <c r="M24" s="31" t="s">
        <v>16</v>
      </c>
      <c r="N24" s="25" t="s">
        <v>17</v>
      </c>
      <c r="O24" s="25" t="s">
        <v>17</v>
      </c>
    </row>
    <row r="25" spans="1:24" ht="15.75" x14ac:dyDescent="0.25">
      <c r="A25" s="32">
        <v>1</v>
      </c>
      <c r="B25" s="28">
        <v>19.100000000000001</v>
      </c>
      <c r="C25" s="28">
        <f t="shared" ref="C25:C33" si="0">B25*1.5</f>
        <v>28.650000000000002</v>
      </c>
      <c r="D25" s="3"/>
      <c r="E25" s="12" t="s">
        <v>20</v>
      </c>
      <c r="F25" s="28">
        <v>2.8</v>
      </c>
      <c r="G25" s="28">
        <v>4.21</v>
      </c>
      <c r="H25" s="3"/>
      <c r="I25" s="32">
        <v>1</v>
      </c>
      <c r="J25" s="30">
        <v>84</v>
      </c>
      <c r="K25" s="28">
        <v>126</v>
      </c>
      <c r="L25" s="27"/>
      <c r="M25" s="9" t="s">
        <v>33</v>
      </c>
      <c r="N25" s="28">
        <v>2.04</v>
      </c>
      <c r="O25" s="28">
        <v>3.06</v>
      </c>
    </row>
    <row r="26" spans="1:24" ht="15.75" x14ac:dyDescent="0.25">
      <c r="A26" s="6">
        <v>1.5</v>
      </c>
      <c r="B26" s="28">
        <v>19.100000000000001</v>
      </c>
      <c r="C26" s="28">
        <f t="shared" si="0"/>
        <v>28.650000000000002</v>
      </c>
      <c r="D26" s="3"/>
      <c r="E26" s="29" t="s">
        <v>23</v>
      </c>
      <c r="F26" s="28">
        <v>2.69</v>
      </c>
      <c r="G26" s="28">
        <v>4.03</v>
      </c>
      <c r="H26" s="3"/>
      <c r="I26" s="6">
        <v>1.5</v>
      </c>
      <c r="J26" s="30">
        <v>84</v>
      </c>
      <c r="K26" s="28">
        <v>126</v>
      </c>
      <c r="L26" s="27"/>
      <c r="M26" s="12" t="s">
        <v>25</v>
      </c>
      <c r="N26" s="28">
        <v>1.69</v>
      </c>
      <c r="O26" s="28">
        <v>2.5499999999999998</v>
      </c>
    </row>
    <row r="27" spans="1:24" ht="15.75" x14ac:dyDescent="0.25">
      <c r="A27" s="32">
        <v>2</v>
      </c>
      <c r="B27" s="28">
        <v>22.9</v>
      </c>
      <c r="C27" s="28">
        <f t="shared" si="0"/>
        <v>34.349999999999994</v>
      </c>
      <c r="D27" s="3"/>
      <c r="E27" s="12" t="s">
        <v>25</v>
      </c>
      <c r="F27" s="28">
        <v>1.98</v>
      </c>
      <c r="G27" s="28">
        <v>2.97</v>
      </c>
      <c r="H27" s="3"/>
      <c r="I27" s="32">
        <v>2</v>
      </c>
      <c r="J27" s="30">
        <v>84</v>
      </c>
      <c r="K27" s="28">
        <v>126</v>
      </c>
      <c r="L27" s="27"/>
      <c r="M27" s="12" t="s">
        <v>27</v>
      </c>
      <c r="N27" s="28">
        <v>1.51</v>
      </c>
      <c r="O27" s="28">
        <v>2.27</v>
      </c>
    </row>
    <row r="28" spans="1:24" ht="15.75" x14ac:dyDescent="0.25">
      <c r="A28" s="32">
        <v>3</v>
      </c>
      <c r="B28" s="28">
        <v>26.6</v>
      </c>
      <c r="C28" s="28">
        <f t="shared" si="0"/>
        <v>39.900000000000006</v>
      </c>
      <c r="D28" s="3"/>
      <c r="E28" s="12" t="s">
        <v>27</v>
      </c>
      <c r="F28" s="28">
        <v>1.51</v>
      </c>
      <c r="G28" s="28">
        <v>2.27</v>
      </c>
      <c r="H28" s="3"/>
      <c r="I28" s="32">
        <v>3</v>
      </c>
      <c r="J28" s="30">
        <v>84</v>
      </c>
      <c r="K28" s="28">
        <v>126</v>
      </c>
      <c r="L28" s="27"/>
      <c r="M28" s="2"/>
      <c r="N28" s="2"/>
      <c r="O28" s="2"/>
    </row>
    <row r="29" spans="1:24" ht="15.75" x14ac:dyDescent="0.25">
      <c r="A29" s="32">
        <v>4</v>
      </c>
      <c r="B29" s="28">
        <v>41.9</v>
      </c>
      <c r="C29" s="28">
        <f t="shared" si="0"/>
        <v>62.849999999999994</v>
      </c>
      <c r="D29" s="2"/>
      <c r="E29" s="2"/>
      <c r="F29" s="2"/>
      <c r="G29" s="2"/>
      <c r="H29" s="3"/>
      <c r="I29" s="32">
        <v>4</v>
      </c>
      <c r="J29" s="30">
        <v>84</v>
      </c>
      <c r="K29" s="28">
        <v>126</v>
      </c>
      <c r="L29" s="33"/>
      <c r="M29" s="3"/>
      <c r="N29" s="3"/>
      <c r="O29" s="3"/>
    </row>
    <row r="30" spans="1:24" ht="15.75" x14ac:dyDescent="0.25">
      <c r="A30" s="32">
        <v>6</v>
      </c>
      <c r="B30" s="28">
        <v>64.599999999999994</v>
      </c>
      <c r="C30" s="28">
        <f t="shared" si="0"/>
        <v>96.899999999999991</v>
      </c>
      <c r="D30" s="2"/>
      <c r="E30" s="2"/>
      <c r="F30" s="2"/>
      <c r="G30" s="2"/>
      <c r="H30" s="3"/>
      <c r="I30" s="32">
        <v>6</v>
      </c>
      <c r="J30" s="30">
        <v>84</v>
      </c>
      <c r="K30" s="28">
        <v>126</v>
      </c>
      <c r="L30" s="33"/>
      <c r="M30" s="3"/>
      <c r="N30" s="3"/>
      <c r="O30" s="3"/>
    </row>
    <row r="31" spans="1:24" ht="15.75" x14ac:dyDescent="0.25">
      <c r="A31" s="32">
        <v>8</v>
      </c>
      <c r="B31" s="28">
        <v>87.5</v>
      </c>
      <c r="C31" s="28">
        <f>B31*1.5</f>
        <v>131.25</v>
      </c>
      <c r="D31" s="2"/>
      <c r="E31" s="2"/>
      <c r="F31" s="2"/>
      <c r="G31" s="2"/>
      <c r="H31" s="3"/>
      <c r="I31" s="32">
        <v>8</v>
      </c>
      <c r="J31" s="30">
        <v>89</v>
      </c>
      <c r="K31" s="28">
        <v>133.5</v>
      </c>
      <c r="L31" s="33"/>
      <c r="M31" s="3"/>
      <c r="N31" s="3"/>
      <c r="O31" s="3"/>
    </row>
    <row r="32" spans="1:24" ht="15.75" x14ac:dyDescent="0.25">
      <c r="A32" s="32">
        <v>10</v>
      </c>
      <c r="B32" s="28">
        <v>125.5</v>
      </c>
      <c r="C32" s="28">
        <f t="shared" si="0"/>
        <v>188.25</v>
      </c>
      <c r="D32" s="2"/>
      <c r="E32" s="2"/>
      <c r="F32" s="2"/>
      <c r="G32" s="2"/>
      <c r="H32" s="3"/>
      <c r="I32" s="32">
        <v>10</v>
      </c>
      <c r="J32" s="30">
        <v>128</v>
      </c>
      <c r="K32" s="28">
        <v>192</v>
      </c>
      <c r="L32" s="33"/>
      <c r="M32" s="3"/>
      <c r="N32" s="3"/>
      <c r="O32" s="3"/>
    </row>
    <row r="33" spans="1:15" ht="15.75" x14ac:dyDescent="0.25">
      <c r="A33" s="32">
        <v>12</v>
      </c>
      <c r="B33" s="28">
        <v>161</v>
      </c>
      <c r="C33" s="28">
        <f t="shared" si="0"/>
        <v>241.5</v>
      </c>
      <c r="D33" s="2"/>
      <c r="E33" s="2"/>
      <c r="F33" s="2"/>
      <c r="G33" s="2"/>
      <c r="H33" s="3"/>
      <c r="I33" s="32">
        <v>12</v>
      </c>
      <c r="J33" s="30">
        <v>161</v>
      </c>
      <c r="K33" s="28">
        <v>241.5</v>
      </c>
      <c r="L33" s="33"/>
      <c r="M33" s="3"/>
      <c r="N33" s="3"/>
      <c r="O33" s="3"/>
    </row>
    <row r="34" spans="1:15" x14ac:dyDescent="0.25">
      <c r="A34" s="1"/>
      <c r="B34" s="1"/>
      <c r="C34" s="1"/>
      <c r="D34" s="1"/>
      <c r="E34" s="1"/>
      <c r="F34" s="1"/>
      <c r="G34" s="1"/>
      <c r="H34" s="24"/>
      <c r="I34" s="24"/>
      <c r="J34" s="24"/>
      <c r="K34" s="24"/>
      <c r="L34" s="24"/>
      <c r="M34" s="24"/>
      <c r="N34" s="24"/>
      <c r="O34" s="24"/>
    </row>
    <row r="35" spans="1:15" ht="16.5" thickBot="1" x14ac:dyDescent="0.3">
      <c r="A35" s="114" t="s">
        <v>34</v>
      </c>
      <c r="B35" s="114"/>
      <c r="C35" s="114"/>
      <c r="D35" s="114"/>
      <c r="E35" s="114"/>
      <c r="F35" s="114"/>
      <c r="G35" s="114"/>
      <c r="H35" s="114"/>
      <c r="I35" s="114"/>
      <c r="J35" s="114"/>
      <c r="K35" s="114"/>
      <c r="L35" s="114"/>
      <c r="M35" s="114"/>
      <c r="N35" s="114"/>
      <c r="O35" s="114"/>
    </row>
    <row r="36" spans="1:15" x14ac:dyDescent="0.25">
      <c r="A36" s="1"/>
      <c r="B36" s="1"/>
      <c r="C36" s="1"/>
      <c r="D36" s="1"/>
      <c r="E36" s="1"/>
      <c r="F36" s="1"/>
      <c r="G36" s="1"/>
      <c r="H36" s="24"/>
      <c r="I36" s="24"/>
      <c r="J36" s="24"/>
      <c r="K36" s="24"/>
      <c r="L36" s="24"/>
      <c r="M36" s="24"/>
      <c r="N36" s="24"/>
      <c r="O36" s="24"/>
    </row>
    <row r="37" spans="1:15" ht="15.75" x14ac:dyDescent="0.25">
      <c r="A37" s="34" t="s">
        <v>35</v>
      </c>
      <c r="B37" s="34"/>
      <c r="C37" s="34"/>
      <c r="D37" s="35">
        <v>50</v>
      </c>
      <c r="E37" s="34" t="s">
        <v>36</v>
      </c>
      <c r="F37" s="34"/>
      <c r="G37" s="34"/>
      <c r="H37" s="34"/>
      <c r="I37" s="34"/>
      <c r="J37" s="3"/>
      <c r="K37" s="3"/>
      <c r="L37" s="3"/>
      <c r="M37" s="3"/>
      <c r="N37" s="3"/>
      <c r="O37" s="3"/>
    </row>
    <row r="38" spans="1:15" ht="15.75" x14ac:dyDescent="0.25">
      <c r="A38" s="34" t="s">
        <v>37</v>
      </c>
      <c r="B38" s="34"/>
      <c r="C38" s="34"/>
      <c r="D38" s="35">
        <v>50</v>
      </c>
      <c r="E38" s="2"/>
      <c r="F38" s="2"/>
      <c r="G38" s="2"/>
      <c r="H38" s="3"/>
      <c r="I38" s="3"/>
      <c r="J38" s="3"/>
      <c r="K38" s="3"/>
      <c r="L38" s="3"/>
      <c r="M38" s="3"/>
      <c r="N38" s="3"/>
      <c r="O38" s="3"/>
    </row>
    <row r="39" spans="1:15" ht="15.75" x14ac:dyDescent="0.25">
      <c r="A39" s="9" t="s">
        <v>38</v>
      </c>
      <c r="B39" s="1"/>
      <c r="C39" s="1"/>
      <c r="D39" s="35">
        <v>15</v>
      </c>
      <c r="E39" s="34" t="s">
        <v>39</v>
      </c>
      <c r="F39" s="1"/>
      <c r="G39" s="1"/>
      <c r="H39" s="1"/>
      <c r="I39" s="1"/>
      <c r="J39" s="1"/>
      <c r="K39" s="1"/>
      <c r="L39" s="1"/>
      <c r="M39" s="1"/>
      <c r="N39" s="1"/>
      <c r="O39" s="1"/>
    </row>
    <row r="40" spans="1:15" ht="15.75" x14ac:dyDescent="0.25">
      <c r="A40" s="9" t="s">
        <v>40</v>
      </c>
      <c r="B40" s="9"/>
      <c r="C40" s="9"/>
      <c r="D40" s="36">
        <v>50</v>
      </c>
      <c r="E40" s="2"/>
      <c r="F40" s="2"/>
      <c r="G40" s="2"/>
      <c r="H40" s="3"/>
      <c r="I40" s="3"/>
      <c r="J40" s="3"/>
      <c r="K40" s="3"/>
      <c r="L40" s="3"/>
      <c r="M40" s="3"/>
      <c r="N40" s="3"/>
      <c r="O40" s="3"/>
    </row>
    <row r="41" spans="1:15" ht="15.75" x14ac:dyDescent="0.25">
      <c r="A41" s="9" t="s">
        <v>41</v>
      </c>
      <c r="B41" s="9"/>
      <c r="C41" s="9"/>
      <c r="D41" s="36">
        <v>25</v>
      </c>
      <c r="E41" s="2" t="s">
        <v>42</v>
      </c>
      <c r="F41" s="2"/>
      <c r="G41" s="2"/>
      <c r="H41" s="3"/>
      <c r="I41" s="3"/>
      <c r="J41" s="3"/>
      <c r="K41" s="3"/>
      <c r="L41" s="3"/>
      <c r="M41" s="3"/>
      <c r="N41" s="3"/>
      <c r="O41" s="3"/>
    </row>
    <row r="42" spans="1:15" ht="15.75" x14ac:dyDescent="0.25">
      <c r="A42" s="9" t="s">
        <v>43</v>
      </c>
      <c r="B42" s="9"/>
      <c r="C42" s="9"/>
      <c r="D42" s="36">
        <v>25</v>
      </c>
      <c r="E42" s="2"/>
      <c r="F42" s="2"/>
      <c r="G42" s="2"/>
      <c r="H42" s="3"/>
      <c r="I42" s="3"/>
      <c r="J42" s="3"/>
      <c r="K42" s="3"/>
      <c r="L42" s="3"/>
      <c r="M42" s="3"/>
      <c r="N42" s="3"/>
      <c r="O42" s="3"/>
    </row>
    <row r="43" spans="1:15" ht="15.75" x14ac:dyDescent="0.25">
      <c r="A43" s="34" t="s">
        <v>44</v>
      </c>
      <c r="B43" s="34"/>
      <c r="C43" s="34"/>
      <c r="D43" s="35">
        <v>35</v>
      </c>
      <c r="E43" s="2"/>
      <c r="F43" s="2"/>
      <c r="G43" s="2"/>
      <c r="H43" s="3"/>
      <c r="I43" s="3"/>
      <c r="J43" s="3"/>
      <c r="K43" s="3"/>
      <c r="L43" s="3"/>
      <c r="M43" s="3"/>
      <c r="N43" s="3"/>
      <c r="O43" s="3"/>
    </row>
    <row r="44" spans="1:15" ht="15.75" x14ac:dyDescent="0.25">
      <c r="A44" s="34" t="s">
        <v>45</v>
      </c>
      <c r="B44" s="34"/>
      <c r="C44" s="34"/>
      <c r="D44" s="36">
        <v>50</v>
      </c>
      <c r="E44" s="2" t="s">
        <v>46</v>
      </c>
      <c r="F44" s="2"/>
      <c r="G44" s="2"/>
      <c r="H44" s="2"/>
      <c r="I44" s="2"/>
      <c r="J44" s="2"/>
      <c r="K44" s="2"/>
      <c r="L44" s="2"/>
      <c r="M44" s="2"/>
      <c r="N44" s="2"/>
      <c r="O44" s="2"/>
    </row>
    <row r="45" spans="1:15" ht="15.75" x14ac:dyDescent="0.25">
      <c r="A45" s="34" t="s">
        <v>47</v>
      </c>
      <c r="B45" s="34"/>
      <c r="C45" s="34"/>
      <c r="D45" s="35">
        <v>250</v>
      </c>
      <c r="E45" s="2"/>
      <c r="F45" s="2"/>
      <c r="G45" s="2"/>
      <c r="H45" s="2"/>
      <c r="I45" s="2"/>
      <c r="J45" s="2"/>
      <c r="K45" s="2"/>
      <c r="L45" s="2"/>
      <c r="M45" s="2"/>
      <c r="N45" s="2"/>
      <c r="O45" s="2"/>
    </row>
    <row r="46" spans="1:15" ht="15.75" x14ac:dyDescent="0.25">
      <c r="A46" s="34" t="s">
        <v>48</v>
      </c>
      <c r="B46" s="34"/>
      <c r="C46" s="34"/>
      <c r="D46" s="35">
        <v>100</v>
      </c>
      <c r="E46" s="2"/>
      <c r="F46" s="2"/>
      <c r="G46" s="2"/>
      <c r="H46" s="2"/>
      <c r="I46" s="2"/>
      <c r="J46" s="2"/>
      <c r="K46" s="2"/>
      <c r="L46" s="2"/>
      <c r="M46" s="2"/>
      <c r="N46" s="2"/>
      <c r="O46" s="2"/>
    </row>
    <row r="47" spans="1:15" ht="15.75" x14ac:dyDescent="0.25">
      <c r="A47" s="34" t="s">
        <v>49</v>
      </c>
      <c r="B47" s="34"/>
      <c r="C47" s="34"/>
      <c r="D47" s="34"/>
      <c r="E47" s="34"/>
      <c r="F47" s="35">
        <v>100</v>
      </c>
      <c r="G47" s="34"/>
      <c r="H47" s="2"/>
      <c r="I47" s="2"/>
      <c r="J47" s="2"/>
      <c r="K47" s="2"/>
      <c r="L47" s="2"/>
      <c r="M47" s="2"/>
      <c r="N47" s="2"/>
      <c r="O47" s="2"/>
    </row>
    <row r="48" spans="1:15" ht="15.75" x14ac:dyDescent="0.25">
      <c r="A48" s="34" t="s">
        <v>50</v>
      </c>
      <c r="B48" s="1"/>
      <c r="C48" s="1"/>
      <c r="D48" s="37">
        <v>0.05</v>
      </c>
      <c r="E48" s="34" t="s">
        <v>51</v>
      </c>
      <c r="F48" s="1"/>
      <c r="G48" s="1"/>
      <c r="H48" s="1"/>
      <c r="I48" s="1"/>
      <c r="J48" s="1"/>
      <c r="K48" s="1"/>
      <c r="L48" s="1"/>
      <c r="M48" s="1"/>
      <c r="N48" s="1"/>
      <c r="O48" s="1"/>
    </row>
    <row r="49" spans="1:15" ht="15.75" x14ac:dyDescent="0.25">
      <c r="A49" s="34" t="s">
        <v>52</v>
      </c>
      <c r="B49" s="1"/>
      <c r="C49" s="1"/>
      <c r="D49" s="38">
        <f>2.89+2.97</f>
        <v>5.86</v>
      </c>
      <c r="E49" s="2" t="s">
        <v>53</v>
      </c>
      <c r="F49" s="1"/>
      <c r="G49" s="1"/>
      <c r="H49" s="1"/>
      <c r="I49" s="1"/>
      <c r="J49" s="1"/>
      <c r="K49" s="1"/>
      <c r="L49" s="1"/>
      <c r="M49" s="1"/>
      <c r="N49" s="1"/>
      <c r="O49" s="1"/>
    </row>
  </sheetData>
  <sheetProtection algorithmName="SHA-512" hashValue="s08Dt6apxM7n/IBWX6Eb0U3WCO88Eu9eCa9U0u6ZBPCja/4wMmtvZ2rdNCblTVhPrGGUExXP/+NZuVGDiWs0lQ==" saltValue="3Xhxf7UyJ8LYEBl4VWXxSQ==" spinCount="100000" sheet="1" objects="1" scenarios="1"/>
  <mergeCells count="12">
    <mergeCell ref="A19:G19"/>
    <mergeCell ref="H19:O19"/>
    <mergeCell ref="A1:O1"/>
    <mergeCell ref="A3:C3"/>
    <mergeCell ref="E3:G3"/>
    <mergeCell ref="L3:N3"/>
    <mergeCell ref="A17:O17"/>
    <mergeCell ref="A21:C21"/>
    <mergeCell ref="E21:G21"/>
    <mergeCell ref="I21:K21"/>
    <mergeCell ref="M21:O21"/>
    <mergeCell ref="A35:O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topLeftCell="A9" workbookViewId="0">
      <selection activeCell="G31" sqref="G31"/>
    </sheetView>
  </sheetViews>
  <sheetFormatPr defaultRowHeight="15" x14ac:dyDescent="0.25"/>
  <cols>
    <col min="1" max="1" width="17.140625" customWidth="1"/>
    <col min="2" max="2" width="13" customWidth="1"/>
    <col min="3" max="4" width="11.5703125" bestFit="1" customWidth="1"/>
    <col min="5" max="5" width="14.28515625" bestFit="1" customWidth="1"/>
    <col min="6" max="6" width="12.140625" customWidth="1"/>
    <col min="7" max="7" width="13.28515625" style="103" customWidth="1"/>
    <col min="8" max="8" width="9.5703125" bestFit="1" customWidth="1"/>
    <col min="9" max="10" width="11.5703125" bestFit="1" customWidth="1"/>
    <col min="13" max="13" width="23.140625" bestFit="1" customWidth="1"/>
    <col min="14" max="14" width="11.28515625" bestFit="1" customWidth="1"/>
    <col min="15" max="15" width="9.42578125" bestFit="1" customWidth="1"/>
    <col min="16" max="16" width="11.85546875" bestFit="1" customWidth="1"/>
    <col min="17" max="17" width="22.42578125" bestFit="1" customWidth="1"/>
  </cols>
  <sheetData>
    <row r="1" spans="1:16" x14ac:dyDescent="0.25">
      <c r="A1" s="39" t="s">
        <v>54</v>
      </c>
      <c r="B1" s="40"/>
      <c r="C1" s="40"/>
      <c r="D1" s="40"/>
      <c r="E1" s="40"/>
      <c r="F1" s="40"/>
      <c r="G1" s="41"/>
      <c r="H1" s="40"/>
      <c r="I1" s="40"/>
      <c r="J1" s="42"/>
    </row>
    <row r="2" spans="1:16" ht="15.75" x14ac:dyDescent="0.25">
      <c r="A2" s="118" t="s">
        <v>55</v>
      </c>
      <c r="B2" s="119"/>
      <c r="C2" s="119"/>
      <c r="D2" s="119"/>
      <c r="E2" s="119"/>
      <c r="F2" s="119"/>
      <c r="G2" s="119"/>
      <c r="H2" s="119"/>
      <c r="I2" s="119"/>
      <c r="J2" s="43"/>
      <c r="M2" t="s">
        <v>56</v>
      </c>
    </row>
    <row r="3" spans="1:16" x14ac:dyDescent="0.25">
      <c r="A3" s="44" t="s">
        <v>57</v>
      </c>
      <c r="B3" s="45" t="s">
        <v>6</v>
      </c>
      <c r="C3" s="45" t="s">
        <v>7</v>
      </c>
      <c r="D3" s="45"/>
      <c r="E3" s="45"/>
      <c r="F3" s="21"/>
      <c r="G3" s="45" t="s">
        <v>58</v>
      </c>
      <c r="H3" s="45" t="s">
        <v>6</v>
      </c>
      <c r="I3" s="45" t="s">
        <v>7</v>
      </c>
      <c r="J3" s="43"/>
      <c r="M3" s="46" t="s">
        <v>22</v>
      </c>
      <c r="N3" s="42">
        <v>25</v>
      </c>
    </row>
    <row r="4" spans="1:16" x14ac:dyDescent="0.25">
      <c r="A4" s="47">
        <v>2000</v>
      </c>
      <c r="B4" s="48">
        <v>3.4</v>
      </c>
      <c r="C4" s="48">
        <v>5.0999999999999996</v>
      </c>
      <c r="D4" s="45" t="s">
        <v>6</v>
      </c>
      <c r="E4" s="45" t="s">
        <v>7</v>
      </c>
      <c r="F4" s="21"/>
      <c r="G4" s="49">
        <v>0.625</v>
      </c>
      <c r="H4" s="50">
        <v>15.8</v>
      </c>
      <c r="I4" s="50">
        <v>23.7</v>
      </c>
      <c r="J4" s="43"/>
      <c r="M4" t="s">
        <v>4</v>
      </c>
      <c r="N4" s="43">
        <v>208.32</v>
      </c>
    </row>
    <row r="5" spans="1:16" x14ac:dyDescent="0.25">
      <c r="A5" s="47">
        <v>25000</v>
      </c>
      <c r="B5" s="48">
        <v>2.29</v>
      </c>
      <c r="C5" s="48">
        <v>3.44</v>
      </c>
      <c r="D5" s="51">
        <f>23*B4</f>
        <v>78.2</v>
      </c>
      <c r="E5" s="52">
        <f>23*C4</f>
        <v>117.3</v>
      </c>
      <c r="G5" s="50">
        <v>1</v>
      </c>
      <c r="H5" s="50">
        <v>15.8</v>
      </c>
      <c r="I5" s="50">
        <v>23.7</v>
      </c>
      <c r="J5" s="43"/>
      <c r="M5" s="53" t="s">
        <v>9</v>
      </c>
      <c r="N5" s="43">
        <v>208.32</v>
      </c>
    </row>
    <row r="6" spans="1:16" x14ac:dyDescent="0.25">
      <c r="A6" s="47">
        <v>1000000</v>
      </c>
      <c r="B6" s="48">
        <v>1.9</v>
      </c>
      <c r="C6" s="48">
        <v>2.85</v>
      </c>
      <c r="D6" s="54">
        <f>975*B5</f>
        <v>2232.75</v>
      </c>
      <c r="E6" s="55">
        <f>975*C5</f>
        <v>3354</v>
      </c>
      <c r="G6" s="49">
        <v>1.5</v>
      </c>
      <c r="H6" s="50">
        <v>15.8</v>
      </c>
      <c r="I6" s="50">
        <v>23.7</v>
      </c>
      <c r="J6" s="43"/>
      <c r="M6" s="53" t="s">
        <v>15</v>
      </c>
      <c r="N6" s="43">
        <v>208.32</v>
      </c>
    </row>
    <row r="7" spans="1:16" x14ac:dyDescent="0.25">
      <c r="A7" s="47">
        <v>5000000</v>
      </c>
      <c r="B7" s="48">
        <v>1.83</v>
      </c>
      <c r="C7" s="48">
        <v>2.75</v>
      </c>
      <c r="D7" s="56">
        <f>4000*B6</f>
        <v>7600</v>
      </c>
      <c r="E7" s="57">
        <f>4000*C6</f>
        <v>11400</v>
      </c>
      <c r="G7" s="50">
        <v>2</v>
      </c>
      <c r="H7" s="50">
        <v>18.5</v>
      </c>
      <c r="I7" s="50">
        <v>27.75</v>
      </c>
      <c r="J7" s="43"/>
      <c r="M7" s="58" t="s">
        <v>19</v>
      </c>
      <c r="N7" s="59">
        <v>208.32</v>
      </c>
    </row>
    <row r="8" spans="1:16" x14ac:dyDescent="0.25">
      <c r="A8" s="60"/>
      <c r="B8" s="21"/>
      <c r="C8" s="21"/>
      <c r="D8" s="21"/>
      <c r="E8" s="21"/>
      <c r="F8" s="21"/>
      <c r="G8" s="50">
        <v>3</v>
      </c>
      <c r="H8" s="50">
        <v>21.4</v>
      </c>
      <c r="I8" s="50">
        <v>32.1</v>
      </c>
      <c r="J8" s="43"/>
      <c r="M8" t="s">
        <v>59</v>
      </c>
      <c r="N8">
        <f>IF(Results!C5="Residential",25,208.32)</f>
        <v>208.32</v>
      </c>
    </row>
    <row r="9" spans="1:16" x14ac:dyDescent="0.25">
      <c r="A9" s="60"/>
      <c r="B9" s="21"/>
      <c r="C9" s="21"/>
      <c r="D9" s="61" t="b">
        <f>IF(C15=B5,SUM(D5))</f>
        <v>0</v>
      </c>
      <c r="E9" s="62" t="b">
        <f>IF(C15=C5,SUM(E5))</f>
        <v>0</v>
      </c>
      <c r="F9" s="21"/>
      <c r="G9" s="50">
        <v>4</v>
      </c>
      <c r="H9" s="50">
        <v>32.5</v>
      </c>
      <c r="I9" s="50">
        <v>48.75</v>
      </c>
      <c r="J9" s="43"/>
    </row>
    <row r="10" spans="1:16" x14ac:dyDescent="0.25">
      <c r="A10" s="60"/>
      <c r="B10" s="21"/>
      <c r="C10" s="21"/>
      <c r="D10" s="63" t="b">
        <f>IF(C15=B6,SUM(D5:D6))</f>
        <v>0</v>
      </c>
      <c r="E10" s="64" t="b">
        <f>IF(C15=C6,SUM(E5:E6))</f>
        <v>0</v>
      </c>
      <c r="F10" s="21"/>
      <c r="G10" s="50">
        <v>6</v>
      </c>
      <c r="H10" s="65">
        <v>48</v>
      </c>
      <c r="I10" s="50">
        <v>72</v>
      </c>
      <c r="J10" s="43"/>
      <c r="M10" s="66" t="s">
        <v>60</v>
      </c>
    </row>
    <row r="11" spans="1:16" x14ac:dyDescent="0.25">
      <c r="A11" s="60"/>
      <c r="B11" s="21"/>
      <c r="C11" s="21"/>
      <c r="D11" s="67" t="b">
        <f>IF(C15=B7,SUM(D5:D7))</f>
        <v>0</v>
      </c>
      <c r="E11" s="68" t="b">
        <f>IF(C15=C7,SUM(E5:E7))</f>
        <v>0</v>
      </c>
      <c r="F11" s="21"/>
      <c r="G11" s="50">
        <v>8</v>
      </c>
      <c r="H11" s="50">
        <v>34.6</v>
      </c>
      <c r="I11" s="50">
        <v>51.9</v>
      </c>
      <c r="J11" s="43"/>
      <c r="M11" t="s">
        <v>61</v>
      </c>
      <c r="N11" s="69">
        <f>IF(Results!C8="yes",VLOOKUP(Results!C11,'FY20 Calcs'!G4:I13,IF(Results!C7="inside",2,3)),0)</f>
        <v>18.5</v>
      </c>
      <c r="O11" s="46">
        <f>IF($N$15=B5,D5)</f>
        <v>78.2</v>
      </c>
      <c r="P11" s="46" t="b">
        <f>IF($N$15=C5,E5)</f>
        <v>0</v>
      </c>
    </row>
    <row r="12" spans="1:16" x14ac:dyDescent="0.25">
      <c r="A12" s="60"/>
      <c r="B12" s="21"/>
      <c r="C12" s="21"/>
      <c r="D12" s="21"/>
      <c r="F12" s="21"/>
      <c r="G12" s="50">
        <v>10</v>
      </c>
      <c r="H12" s="50">
        <v>91.3</v>
      </c>
      <c r="I12" s="50">
        <v>136.94999999999999</v>
      </c>
      <c r="J12" s="43"/>
      <c r="O12" s="60" t="b">
        <f>IF($N$15=B6,SUM(D5:D6))</f>
        <v>0</v>
      </c>
      <c r="P12" s="60" t="b">
        <f>IF($N$15=C6,SUM(E5:E6))</f>
        <v>0</v>
      </c>
    </row>
    <row r="13" spans="1:16" x14ac:dyDescent="0.25">
      <c r="A13" s="60"/>
      <c r="B13" s="21"/>
      <c r="C13" s="21"/>
      <c r="D13" s="21"/>
      <c r="E13" s="21"/>
      <c r="F13" s="21"/>
      <c r="G13" s="50">
        <v>12</v>
      </c>
      <c r="H13" s="65">
        <v>117.9</v>
      </c>
      <c r="I13" s="50">
        <v>176.85</v>
      </c>
      <c r="J13" s="43"/>
      <c r="O13" s="70" t="b">
        <f>IF($N$15=B7,SUM(D5:D7))</f>
        <v>0</v>
      </c>
      <c r="P13" s="70" t="b">
        <f>IF($N$15=C7,SUM(E5:E7))</f>
        <v>0</v>
      </c>
    </row>
    <row r="14" spans="1:16" x14ac:dyDescent="0.25">
      <c r="A14" s="60"/>
      <c r="B14" s="21"/>
      <c r="C14" s="21"/>
      <c r="D14" s="21"/>
      <c r="E14" s="21"/>
      <c r="F14" s="21"/>
      <c r="G14" s="50"/>
      <c r="H14" s="21"/>
      <c r="I14" s="21"/>
      <c r="J14" s="43"/>
    </row>
    <row r="15" spans="1:16" x14ac:dyDescent="0.25">
      <c r="A15" s="120" t="s">
        <v>62</v>
      </c>
      <c r="B15" s="121"/>
      <c r="C15" s="71">
        <f>VLOOKUP(Results!C3,A4:C7,IF(Results!$C$7="outside",3,2))</f>
        <v>3.4</v>
      </c>
      <c r="D15" s="71"/>
      <c r="E15" s="71"/>
      <c r="F15" s="72"/>
      <c r="G15" s="121" t="s">
        <v>63</v>
      </c>
      <c r="H15" s="121"/>
      <c r="I15" s="72">
        <f>VLOOKUP(Results!C6,'FY20 Calcs'!G4:I13,IF(Results!C7="outside",3,2))</f>
        <v>48</v>
      </c>
      <c r="J15" s="43"/>
      <c r="M15" s="73" t="s">
        <v>62</v>
      </c>
      <c r="N15" s="71">
        <f>VLOOKUP(Results!C10,$A$4:$C$7,IF(Results!$C$7="outside",3,2))</f>
        <v>2.29</v>
      </c>
      <c r="O15" s="71"/>
      <c r="P15" s="71"/>
    </row>
    <row r="16" spans="1:16" x14ac:dyDescent="0.25">
      <c r="A16" s="60"/>
      <c r="B16" s="74" t="s">
        <v>64</v>
      </c>
      <c r="C16" s="75">
        <f>IF($C$15=$B$4,$A$4,IF($C$15=$C$4,$A$4,IF($C$15=B$5,A$5,IF($C$15=$C$5,$A$5,IF($C$15=$B$6,$A$6,IF($C$15=$C$6,$A$6,IF($C$15=$B$7,$A$7,IF($C$15=$C$7,$A$7))))))))</f>
        <v>2000</v>
      </c>
      <c r="D16" s="75"/>
      <c r="E16" s="75"/>
      <c r="F16" s="21"/>
      <c r="G16" s="50"/>
      <c r="H16" s="21"/>
      <c r="I16" s="21"/>
      <c r="J16" s="43"/>
      <c r="M16" s="74" t="s">
        <v>64</v>
      </c>
      <c r="N16" s="75">
        <f>IF($N$15=$B$4,$A$4,IF($N$15=$C$4,$A$4,IF($N$15=B$5,A$5,IF($N$15=$C$5,$A$5,IF($N$15=$B$6,$A$6,IF($N$15=$C$6,$A$6,IF($N$15=$B$7,$A$7,IF($N$15=$C$7,$A$7))))))))</f>
        <v>25000</v>
      </c>
      <c r="O16" s="75"/>
      <c r="P16" s="75"/>
    </row>
    <row r="17" spans="1:16" x14ac:dyDescent="0.25">
      <c r="A17" s="60"/>
      <c r="B17" s="21" t="s">
        <v>65</v>
      </c>
      <c r="C17" s="76">
        <f>Results!C3</f>
        <v>5000</v>
      </c>
      <c r="D17" s="75"/>
      <c r="E17" s="75"/>
      <c r="F17" s="21"/>
      <c r="G17" s="50"/>
      <c r="H17" s="21"/>
      <c r="I17" s="21"/>
      <c r="J17" s="43"/>
      <c r="M17" s="21" t="s">
        <v>65</v>
      </c>
      <c r="N17" s="76">
        <f>Results!C10</f>
        <v>34000</v>
      </c>
      <c r="O17" s="75"/>
      <c r="P17" s="75"/>
    </row>
    <row r="18" spans="1:16" x14ac:dyDescent="0.25">
      <c r="A18" s="60"/>
      <c r="B18" s="21" t="s">
        <v>66</v>
      </c>
      <c r="C18" s="77">
        <f>C17-C16</f>
        <v>3000</v>
      </c>
      <c r="D18" s="21"/>
      <c r="E18" s="21"/>
      <c r="F18" s="21"/>
      <c r="G18" s="50"/>
      <c r="H18" s="21"/>
      <c r="I18" s="21"/>
      <c r="J18" s="43"/>
      <c r="M18" s="21" t="s">
        <v>66</v>
      </c>
      <c r="N18" s="77">
        <f>N17-N16</f>
        <v>9000</v>
      </c>
      <c r="O18" s="21"/>
      <c r="P18" s="21"/>
    </row>
    <row r="19" spans="1:16" x14ac:dyDescent="0.25">
      <c r="A19" s="60"/>
      <c r="B19" s="78" t="s">
        <v>67</v>
      </c>
      <c r="C19" s="79">
        <f>C18/1000*C15</f>
        <v>10.199999999999999</v>
      </c>
      <c r="D19" s="80">
        <f>SUM($D$9:$E$11)</f>
        <v>0</v>
      </c>
      <c r="E19" s="81">
        <f>C19+D19</f>
        <v>10.199999999999999</v>
      </c>
      <c r="F19" s="21"/>
      <c r="G19"/>
      <c r="J19" s="43"/>
      <c r="M19" s="78" t="s">
        <v>67</v>
      </c>
      <c r="N19" s="79">
        <f>N18/1000*N15</f>
        <v>20.61</v>
      </c>
      <c r="O19" s="80">
        <f>SUM($O$11:$P$13)</f>
        <v>78.2</v>
      </c>
      <c r="P19" s="81">
        <f>N19+O19</f>
        <v>98.81</v>
      </c>
    </row>
    <row r="20" spans="1:16" x14ac:dyDescent="0.25">
      <c r="A20" s="70"/>
      <c r="B20" s="82"/>
      <c r="C20" s="82"/>
      <c r="D20" s="82"/>
      <c r="E20" s="82"/>
      <c r="F20" s="82"/>
      <c r="G20" s="83"/>
      <c r="H20" s="82"/>
      <c r="I20" s="82"/>
      <c r="J20" s="59"/>
    </row>
    <row r="22" spans="1:16" ht="15.75" x14ac:dyDescent="0.25">
      <c r="A22" s="46"/>
      <c r="B22" s="122" t="s">
        <v>68</v>
      </c>
      <c r="C22" s="123"/>
      <c r="D22" s="123"/>
      <c r="E22" s="123"/>
      <c r="F22" s="123"/>
      <c r="G22" s="123"/>
      <c r="H22" s="123"/>
      <c r="I22" s="123"/>
      <c r="J22" s="124"/>
    </row>
    <row r="23" spans="1:16" x14ac:dyDescent="0.25">
      <c r="A23" s="125" t="s">
        <v>69</v>
      </c>
      <c r="B23" s="126"/>
      <c r="C23" s="126"/>
      <c r="D23" s="21"/>
      <c r="E23" s="21"/>
      <c r="F23" s="125" t="s">
        <v>9</v>
      </c>
      <c r="G23" s="126"/>
      <c r="H23" s="126"/>
      <c r="I23" s="21"/>
      <c r="J23" s="43"/>
    </row>
    <row r="24" spans="1:16" x14ac:dyDescent="0.25">
      <c r="A24" s="44" t="s">
        <v>58</v>
      </c>
      <c r="B24" s="45" t="s">
        <v>6</v>
      </c>
      <c r="C24" s="45" t="s">
        <v>7</v>
      </c>
      <c r="D24" s="21"/>
      <c r="E24" s="21"/>
      <c r="F24" s="44" t="s">
        <v>58</v>
      </c>
      <c r="G24" s="45" t="s">
        <v>6</v>
      </c>
      <c r="H24" s="45" t="s">
        <v>7</v>
      </c>
      <c r="I24" s="21"/>
      <c r="J24" s="43"/>
    </row>
    <row r="25" spans="1:16" x14ac:dyDescent="0.25">
      <c r="A25" s="84">
        <v>0.625</v>
      </c>
      <c r="B25" s="50">
        <v>19.100000000000001</v>
      </c>
      <c r="C25" s="50">
        <v>28.65</v>
      </c>
      <c r="D25" s="21"/>
      <c r="E25" s="21"/>
      <c r="F25" s="84">
        <v>0.625</v>
      </c>
      <c r="G25" s="50">
        <v>84</v>
      </c>
      <c r="H25" s="50">
        <v>126</v>
      </c>
      <c r="I25" s="21"/>
      <c r="J25" s="43"/>
    </row>
    <row r="26" spans="1:16" x14ac:dyDescent="0.25">
      <c r="A26" s="85">
        <v>1</v>
      </c>
      <c r="B26" s="50">
        <v>19.100000000000001</v>
      </c>
      <c r="C26" s="50">
        <v>28.65</v>
      </c>
      <c r="D26" s="21"/>
      <c r="E26" s="21"/>
      <c r="F26" s="85">
        <v>1</v>
      </c>
      <c r="G26" s="50">
        <v>84</v>
      </c>
      <c r="H26" s="50">
        <v>126</v>
      </c>
      <c r="I26" s="21"/>
      <c r="J26" s="43"/>
    </row>
    <row r="27" spans="1:16" x14ac:dyDescent="0.25">
      <c r="A27" s="84">
        <v>1.5</v>
      </c>
      <c r="B27" s="50">
        <v>19.100000000000001</v>
      </c>
      <c r="C27" s="50">
        <v>28.65</v>
      </c>
      <c r="D27" s="21"/>
      <c r="E27" s="21"/>
      <c r="F27" s="84">
        <v>1.5</v>
      </c>
      <c r="G27" s="50">
        <v>84</v>
      </c>
      <c r="H27" s="50">
        <v>126</v>
      </c>
      <c r="I27" s="21"/>
      <c r="J27" s="43"/>
    </row>
    <row r="28" spans="1:16" x14ac:dyDescent="0.25">
      <c r="A28" s="85">
        <v>2</v>
      </c>
      <c r="B28" s="50">
        <v>22.9</v>
      </c>
      <c r="C28" s="50">
        <v>34.35</v>
      </c>
      <c r="D28" s="21" t="s">
        <v>70</v>
      </c>
      <c r="E28" s="48">
        <f>8*IF(Results!C7="inside",'FY20 Calcs'!B37,'FY20 Calcs'!C37)</f>
        <v>22.4</v>
      </c>
      <c r="F28" s="85">
        <v>2</v>
      </c>
      <c r="G28" s="50">
        <v>84</v>
      </c>
      <c r="H28" s="50">
        <v>126</v>
      </c>
      <c r="I28" s="21"/>
      <c r="J28" s="43"/>
    </row>
    <row r="29" spans="1:16" x14ac:dyDescent="0.25">
      <c r="A29" s="85">
        <v>3</v>
      </c>
      <c r="B29" s="50">
        <v>26.6</v>
      </c>
      <c r="C29" s="50">
        <v>39.9</v>
      </c>
      <c r="D29" s="21" t="s">
        <v>96</v>
      </c>
      <c r="E29" s="86">
        <f>IF(Results!C5="Governmental",Results!C3,0)</f>
        <v>5000</v>
      </c>
      <c r="F29" s="85">
        <v>3</v>
      </c>
      <c r="G29" s="50">
        <v>84</v>
      </c>
      <c r="H29" s="50">
        <v>126</v>
      </c>
      <c r="I29" s="21"/>
      <c r="J29" s="43"/>
    </row>
    <row r="30" spans="1:16" x14ac:dyDescent="0.25">
      <c r="A30" s="85">
        <v>4</v>
      </c>
      <c r="B30" s="50">
        <v>41.9</v>
      </c>
      <c r="C30" s="50">
        <v>62.85</v>
      </c>
      <c r="D30" s="21" t="s">
        <v>22</v>
      </c>
      <c r="E30" s="86">
        <f>IF(Results!C5="Residential",Results!C4,0)</f>
        <v>0</v>
      </c>
      <c r="F30" s="85">
        <v>4</v>
      </c>
      <c r="G30" s="50">
        <v>84</v>
      </c>
      <c r="H30" s="50">
        <v>126</v>
      </c>
      <c r="I30" s="21"/>
      <c r="J30" s="43"/>
    </row>
    <row r="31" spans="1:16" x14ac:dyDescent="0.25">
      <c r="A31" s="85">
        <v>6</v>
      </c>
      <c r="B31" s="50">
        <v>64.599999999999994</v>
      </c>
      <c r="C31" s="50">
        <v>96.9</v>
      </c>
      <c r="D31" s="21" t="s">
        <v>4</v>
      </c>
      <c r="E31" s="87">
        <f>IF(Results!$C$5="Commercial",Results!$C$4,0)</f>
        <v>0</v>
      </c>
      <c r="F31" s="85">
        <v>6</v>
      </c>
      <c r="G31" s="50">
        <v>84</v>
      </c>
      <c r="H31" s="50">
        <v>126</v>
      </c>
      <c r="I31" s="21"/>
      <c r="J31" s="43"/>
    </row>
    <row r="32" spans="1:16" x14ac:dyDescent="0.25">
      <c r="A32" s="85">
        <v>8</v>
      </c>
      <c r="B32" s="50">
        <v>87.5</v>
      </c>
      <c r="C32" s="50">
        <v>131.25</v>
      </c>
      <c r="D32" s="88" t="s">
        <v>9</v>
      </c>
      <c r="E32" s="87">
        <f>IF(Results!$C$5="Industrial",Results!$C$4,0)</f>
        <v>0</v>
      </c>
      <c r="F32" s="85">
        <v>8</v>
      </c>
      <c r="G32" s="50">
        <v>89</v>
      </c>
      <c r="H32" s="50">
        <v>133.5</v>
      </c>
      <c r="I32" s="21"/>
      <c r="J32" s="43"/>
    </row>
    <row r="33" spans="1:10" x14ac:dyDescent="0.25">
      <c r="A33" s="85">
        <v>10</v>
      </c>
      <c r="B33" s="50">
        <v>125.5</v>
      </c>
      <c r="C33" s="50">
        <v>188.25</v>
      </c>
      <c r="D33" s="88" t="s">
        <v>15</v>
      </c>
      <c r="E33" s="87">
        <f>IF(Results!$C$5="Institutional",Results!$C$4,0)</f>
        <v>0</v>
      </c>
      <c r="F33" s="85">
        <v>10</v>
      </c>
      <c r="G33" s="50">
        <v>128</v>
      </c>
      <c r="H33" s="50">
        <v>192</v>
      </c>
      <c r="I33" s="21"/>
      <c r="J33" s="43"/>
    </row>
    <row r="34" spans="1:10" x14ac:dyDescent="0.25">
      <c r="A34" s="85">
        <v>12</v>
      </c>
      <c r="B34" s="50">
        <v>161</v>
      </c>
      <c r="C34" s="50">
        <v>241.5</v>
      </c>
      <c r="D34" s="88" t="s">
        <v>19</v>
      </c>
      <c r="E34" s="87">
        <f>IF(Results!$C$5="Multi-Family Residential",Results!$C$4,0)</f>
        <v>0</v>
      </c>
      <c r="F34" s="85">
        <v>12</v>
      </c>
      <c r="G34" s="50">
        <v>161</v>
      </c>
      <c r="H34" s="50">
        <v>241.5</v>
      </c>
      <c r="I34" s="21"/>
      <c r="J34" s="43"/>
    </row>
    <row r="35" spans="1:10" x14ac:dyDescent="0.25">
      <c r="A35" s="60"/>
      <c r="B35" s="21"/>
      <c r="C35" s="21"/>
      <c r="D35" s="21"/>
      <c r="E35" s="89">
        <f>SUM(E30:E34)</f>
        <v>0</v>
      </c>
      <c r="F35" s="60"/>
      <c r="G35" s="50"/>
      <c r="H35" s="21"/>
      <c r="I35" s="21"/>
      <c r="J35" s="43"/>
    </row>
    <row r="36" spans="1:10" x14ac:dyDescent="0.25">
      <c r="A36" s="44" t="s">
        <v>57</v>
      </c>
      <c r="B36" s="45" t="s">
        <v>6</v>
      </c>
      <c r="C36" s="45" t="s">
        <v>7</v>
      </c>
      <c r="F36" s="44" t="s">
        <v>57</v>
      </c>
      <c r="G36" s="45" t="s">
        <v>6</v>
      </c>
      <c r="H36" s="45" t="s">
        <v>7</v>
      </c>
      <c r="I36" s="21"/>
      <c r="J36" s="43"/>
    </row>
    <row r="37" spans="1:10" x14ac:dyDescent="0.25">
      <c r="A37" s="47">
        <v>2000</v>
      </c>
      <c r="B37" s="48">
        <v>2.8</v>
      </c>
      <c r="C37" s="48">
        <v>4.21</v>
      </c>
      <c r="D37" s="90" t="s">
        <v>6</v>
      </c>
      <c r="E37" s="91" t="s">
        <v>7</v>
      </c>
      <c r="F37" s="75">
        <v>2000</v>
      </c>
      <c r="G37" s="48">
        <v>2.04</v>
      </c>
      <c r="H37" s="48">
        <v>3.06</v>
      </c>
      <c r="I37" s="21"/>
      <c r="J37" s="43"/>
    </row>
    <row r="38" spans="1:10" x14ac:dyDescent="0.25">
      <c r="A38" s="47">
        <v>25000</v>
      </c>
      <c r="B38" s="48">
        <v>2.69</v>
      </c>
      <c r="C38" s="48">
        <v>4.03</v>
      </c>
      <c r="D38" s="92">
        <f>23*B37</f>
        <v>64.399999999999991</v>
      </c>
      <c r="E38" s="93">
        <f>23*C37</f>
        <v>96.83</v>
      </c>
      <c r="F38" s="75">
        <v>1000000</v>
      </c>
      <c r="G38" s="48">
        <v>1.69</v>
      </c>
      <c r="H38" s="48">
        <v>2.5499999999999998</v>
      </c>
      <c r="I38" s="94">
        <f>998*G37</f>
        <v>2035.92</v>
      </c>
      <c r="J38" s="95">
        <f>998*H37</f>
        <v>3053.88</v>
      </c>
    </row>
    <row r="39" spans="1:10" x14ac:dyDescent="0.25">
      <c r="A39" s="47">
        <v>1000000</v>
      </c>
      <c r="B39" s="48">
        <v>1.98</v>
      </c>
      <c r="C39" s="48">
        <v>2.97</v>
      </c>
      <c r="D39" s="92">
        <f>975*B38</f>
        <v>2622.75</v>
      </c>
      <c r="E39" s="93">
        <f>975*C38</f>
        <v>3929.2500000000005</v>
      </c>
      <c r="F39" s="75">
        <v>5000000</v>
      </c>
      <c r="G39" s="48">
        <v>1.51</v>
      </c>
      <c r="H39" s="48">
        <v>2.27</v>
      </c>
      <c r="I39" s="96">
        <f>4000*G38</f>
        <v>6760</v>
      </c>
      <c r="J39" s="97">
        <f>4000*H38</f>
        <v>10200</v>
      </c>
    </row>
    <row r="40" spans="1:10" x14ac:dyDescent="0.25">
      <c r="A40" s="47">
        <v>5000000</v>
      </c>
      <c r="B40" s="48">
        <v>1.51</v>
      </c>
      <c r="C40" s="48">
        <v>2.27</v>
      </c>
      <c r="D40" s="96">
        <f>4000*B39</f>
        <v>7920</v>
      </c>
      <c r="E40" s="97">
        <f>4000*C39</f>
        <v>11880</v>
      </c>
      <c r="F40" s="21"/>
      <c r="G40" s="50"/>
      <c r="H40" s="21"/>
      <c r="I40" s="61"/>
      <c r="J40" s="62"/>
    </row>
    <row r="41" spans="1:10" x14ac:dyDescent="0.25">
      <c r="A41" s="60"/>
      <c r="B41" s="21"/>
      <c r="C41" s="21"/>
      <c r="D41" s="46"/>
      <c r="E41" s="42"/>
      <c r="F41" s="21"/>
      <c r="G41" s="50"/>
      <c r="H41" s="21"/>
      <c r="I41" s="63" t="b">
        <f>IF($G$43=G38,SUM(I38))</f>
        <v>0</v>
      </c>
      <c r="J41" s="64" t="b">
        <f>IF($G$43=H38,SUM(J38))</f>
        <v>0</v>
      </c>
    </row>
    <row r="42" spans="1:10" x14ac:dyDescent="0.25">
      <c r="A42" s="60" t="s">
        <v>61</v>
      </c>
      <c r="B42" s="21">
        <f>VLOOKUP(Results!C6,'FY20 Calcs'!A25:C34,IF(Results!C7="outside",3,2))</f>
        <v>64.599999999999994</v>
      </c>
      <c r="C42" s="21"/>
      <c r="D42" s="46">
        <f>IF(B43=B38,SUM(D38))</f>
        <v>64.399999999999991</v>
      </c>
      <c r="E42" s="42" t="b">
        <f>IF(B43=C38,SUM(E38))</f>
        <v>0</v>
      </c>
      <c r="F42" s="21" t="s">
        <v>61</v>
      </c>
      <c r="G42" s="21">
        <f>VLOOKUP([1]Results!C6,'FY20 Calcs'!F25:H34,IF([1]Results!F7="outside",3,2))</f>
        <v>84</v>
      </c>
      <c r="H42" s="21"/>
      <c r="I42" s="67" t="b">
        <f>IF($G$43=G39,SUM(I38:I39))</f>
        <v>0</v>
      </c>
      <c r="J42" s="68" t="b">
        <f>IF($G$43=H39,SUM(J38:J39))</f>
        <v>0</v>
      </c>
    </row>
    <row r="43" spans="1:10" x14ac:dyDescent="0.25">
      <c r="A43" s="73" t="s">
        <v>62</v>
      </c>
      <c r="B43" s="71">
        <f>VLOOKUP(Results!C4,A37:C40,IF(Results!C7="outside",3,2))</f>
        <v>2.69</v>
      </c>
      <c r="C43" s="21"/>
      <c r="D43" s="60" t="b">
        <f>IF(B43=B39,SUM(D38:D39))</f>
        <v>0</v>
      </c>
      <c r="E43" s="43" t="b">
        <f>IF(B43=C39,SUM(E38:E39))</f>
        <v>0</v>
      </c>
      <c r="F43" s="98" t="s">
        <v>62</v>
      </c>
      <c r="G43" s="71">
        <f>VLOOKUP(Results!C4,F37:H39,IF(Results!F7="outside",3,2))</f>
        <v>2.04</v>
      </c>
      <c r="H43" s="21"/>
      <c r="I43" s="21"/>
      <c r="J43" s="43"/>
    </row>
    <row r="44" spans="1:10" x14ac:dyDescent="0.25">
      <c r="A44" s="74" t="s">
        <v>64</v>
      </c>
      <c r="B44" s="75">
        <f>IF(B43=B37,A37,IF(B43=C37,A37,IF(B43=B38,A38,IF(B43=C38,A38,IF(B43=B39,A39,IF(B43=C39,A39,IF(B43=B40,A40,IF(B43=C40,A40))))))))</f>
        <v>25000</v>
      </c>
      <c r="C44" s="21"/>
      <c r="D44" s="67" t="b">
        <f>IF(B43=B40,SUM(D38:D40))</f>
        <v>0</v>
      </c>
      <c r="E44" s="59" t="b">
        <f>IF(B43=C40,SUM(E38:E40))</f>
        <v>0</v>
      </c>
      <c r="F44" s="74" t="s">
        <v>64</v>
      </c>
      <c r="G44" s="75">
        <f>IF(G43=G37,F37,IF(G43=H37,F37,IF(G43=G38,F38,IF(G43=H38,F38,IF(G43=G39,F39,IF(G43=H39,F39))))))</f>
        <v>2000</v>
      </c>
      <c r="H44" s="21"/>
      <c r="I44" s="21"/>
      <c r="J44" s="43"/>
    </row>
    <row r="45" spans="1:10" x14ac:dyDescent="0.25">
      <c r="A45" s="60" t="s">
        <v>65</v>
      </c>
      <c r="B45" s="76">
        <f>IF(E30&gt;10000,10000,E35)</f>
        <v>0</v>
      </c>
      <c r="C45" s="21"/>
      <c r="D45" s="21"/>
      <c r="E45" s="21"/>
      <c r="F45" s="21" t="s">
        <v>65</v>
      </c>
      <c r="G45" s="76">
        <f>Results!C4</f>
        <v>27000</v>
      </c>
      <c r="H45" s="21"/>
      <c r="I45" s="21"/>
      <c r="J45" s="43"/>
    </row>
    <row r="46" spans="1:10" x14ac:dyDescent="0.25">
      <c r="A46" s="60" t="s">
        <v>66</v>
      </c>
      <c r="B46" s="77">
        <f>B45-B44</f>
        <v>-25000</v>
      </c>
      <c r="C46" s="21"/>
      <c r="D46" s="21"/>
      <c r="E46" s="21"/>
      <c r="F46" s="21" t="s">
        <v>66</v>
      </c>
      <c r="G46" s="77">
        <f>G45-G44</f>
        <v>25000</v>
      </c>
      <c r="H46" s="21"/>
      <c r="I46" s="21"/>
      <c r="J46" s="43"/>
    </row>
    <row r="47" spans="1:10" x14ac:dyDescent="0.25">
      <c r="A47" s="99" t="s">
        <v>67</v>
      </c>
      <c r="B47" s="79">
        <f>IF(B46&lt;0,22.4,B46/1000*B43)</f>
        <v>22.4</v>
      </c>
      <c r="C47" s="87">
        <f>SUM(D42:E44)</f>
        <v>64.399999999999991</v>
      </c>
      <c r="D47" s="81">
        <f>IF(Results!C5="residential",'FY20 Calcs'!B47,C47+B47)</f>
        <v>86.799999999999983</v>
      </c>
      <c r="E47" s="21"/>
      <c r="F47" s="78" t="s">
        <v>67</v>
      </c>
      <c r="G47" s="100">
        <f>G46/1000*G43</f>
        <v>51</v>
      </c>
      <c r="H47" s="101">
        <f>SUM(I41:J42)</f>
        <v>0</v>
      </c>
      <c r="I47" s="102">
        <f>H47+G47</f>
        <v>51</v>
      </c>
      <c r="J47" s="43"/>
    </row>
    <row r="48" spans="1:10" x14ac:dyDescent="0.25">
      <c r="A48" s="70"/>
      <c r="B48" s="82"/>
      <c r="C48" s="82"/>
      <c r="D48" s="82"/>
      <c r="E48" s="82"/>
      <c r="F48" s="82"/>
      <c r="G48" s="83"/>
      <c r="H48" s="82"/>
      <c r="I48" s="82"/>
      <c r="J48" s="59"/>
    </row>
  </sheetData>
  <sheetProtection algorithmName="SHA-512" hashValue="vH9YZA18F9GJ9dGvbiDANILcoRMgJF3WGiszH4k7h0hudpPAZJkTjt171F4U+dD8iF9ImfONBndp3G3CyD8TXg==" saltValue="jIhuyR+JHbP7WqG1BjrcOg==" spinCount="100000" sheet="1" objects="1" scenarios="1"/>
  <mergeCells count="6">
    <mergeCell ref="A2:I2"/>
    <mergeCell ref="A15:B15"/>
    <mergeCell ref="G15:H15"/>
    <mergeCell ref="B22:J22"/>
    <mergeCell ref="A23:C23"/>
    <mergeCell ref="F23:H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D34"/>
  <sheetViews>
    <sheetView tabSelected="1" zoomScale="115" zoomScaleNormal="115" workbookViewId="0">
      <selection activeCell="D12" sqref="D12"/>
    </sheetView>
  </sheetViews>
  <sheetFormatPr defaultRowHeight="15" x14ac:dyDescent="0.25"/>
  <cols>
    <col min="1" max="1" width="22.42578125" bestFit="1" customWidth="1"/>
    <col min="2" max="2" width="15.28515625" customWidth="1"/>
    <col min="3" max="3" width="15.5703125" customWidth="1"/>
  </cols>
  <sheetData>
    <row r="1" spans="1:3" ht="18.75" x14ac:dyDescent="0.3">
      <c r="A1" s="133" t="s">
        <v>71</v>
      </c>
      <c r="B1" s="133"/>
      <c r="C1" s="133"/>
    </row>
    <row r="2" spans="1:3" ht="18.75" x14ac:dyDescent="0.3">
      <c r="A2" s="133" t="s">
        <v>72</v>
      </c>
      <c r="B2" s="133"/>
      <c r="C2" s="133"/>
    </row>
    <row r="3" spans="1:3" x14ac:dyDescent="0.25">
      <c r="A3" s="134" t="s">
        <v>73</v>
      </c>
      <c r="B3" s="135"/>
      <c r="C3" s="104">
        <v>5000</v>
      </c>
    </row>
    <row r="4" spans="1:3" x14ac:dyDescent="0.25">
      <c r="A4" s="120" t="s">
        <v>74</v>
      </c>
      <c r="B4" s="121"/>
      <c r="C4" s="105">
        <v>27000</v>
      </c>
    </row>
    <row r="5" spans="1:3" x14ac:dyDescent="0.25">
      <c r="A5" s="120" t="s">
        <v>75</v>
      </c>
      <c r="B5" s="121"/>
      <c r="C5" s="107" t="s">
        <v>96</v>
      </c>
    </row>
    <row r="6" spans="1:3" x14ac:dyDescent="0.25">
      <c r="A6" s="120" t="s">
        <v>76</v>
      </c>
      <c r="B6" s="121"/>
      <c r="C6" s="107">
        <v>6</v>
      </c>
    </row>
    <row r="7" spans="1:3" x14ac:dyDescent="0.25">
      <c r="A7" s="120" t="s">
        <v>77</v>
      </c>
      <c r="B7" s="121"/>
      <c r="C7" s="107" t="s">
        <v>6</v>
      </c>
    </row>
    <row r="8" spans="1:3" x14ac:dyDescent="0.25">
      <c r="A8" s="120" t="s">
        <v>78</v>
      </c>
      <c r="B8" s="121"/>
      <c r="C8" s="107" t="s">
        <v>79</v>
      </c>
    </row>
    <row r="9" spans="1:3" x14ac:dyDescent="0.25">
      <c r="A9" s="120" t="s">
        <v>80</v>
      </c>
      <c r="B9" s="121"/>
      <c r="C9" s="107" t="s">
        <v>79</v>
      </c>
    </row>
    <row r="10" spans="1:3" x14ac:dyDescent="0.25">
      <c r="A10" s="120" t="s">
        <v>81</v>
      </c>
      <c r="B10" s="121"/>
      <c r="C10" s="106">
        <v>34000</v>
      </c>
    </row>
    <row r="11" spans="1:3" x14ac:dyDescent="0.25">
      <c r="A11" s="129" t="s">
        <v>82</v>
      </c>
      <c r="B11" s="130"/>
      <c r="C11" s="108">
        <v>2</v>
      </c>
    </row>
    <row r="13" spans="1:3" x14ac:dyDescent="0.25">
      <c r="A13" s="131" t="s">
        <v>83</v>
      </c>
      <c r="B13" s="132"/>
      <c r="C13" s="109">
        <f>SUM(B15:B25)</f>
        <v>245.61453</v>
      </c>
    </row>
    <row r="14" spans="1:3" x14ac:dyDescent="0.25">
      <c r="A14" s="127" t="s">
        <v>84</v>
      </c>
      <c r="B14" s="128"/>
      <c r="C14" s="43"/>
    </row>
    <row r="15" spans="1:3" x14ac:dyDescent="0.25">
      <c r="A15" s="46" t="s">
        <v>85</v>
      </c>
      <c r="B15" s="52">
        <f>IF(C9="yes",0,IF(C9="no-sewer",0,IF(C8="no",'FY20 Calcs'!$I$15,'FY20 Calcs'!I15)))</f>
        <v>0</v>
      </c>
      <c r="C15" s="43"/>
    </row>
    <row r="16" spans="1:3" x14ac:dyDescent="0.25">
      <c r="A16" s="60" t="s">
        <v>86</v>
      </c>
      <c r="B16" s="93">
        <f>IF(C3=0,0,'FY20 Calcs'!$E$19)</f>
        <v>10.199999999999999</v>
      </c>
      <c r="C16" s="43"/>
    </row>
    <row r="17" spans="1:4" x14ac:dyDescent="0.25">
      <c r="A17" s="60" t="s">
        <v>87</v>
      </c>
      <c r="B17" s="55">
        <f>IF(C9="yes",0,IF(C9="no- water",0,IF(C5="industrial",'FY20 Calcs'!G42,'FY20 Calcs'!B42)))</f>
        <v>0</v>
      </c>
      <c r="C17" s="43"/>
    </row>
    <row r="18" spans="1:4" x14ac:dyDescent="0.25">
      <c r="A18" s="60" t="s">
        <v>88</v>
      </c>
      <c r="B18" s="55">
        <f>IF(C4=0,0,IF(C5="industrial",'FY20 Calcs'!I47,'FY20 Calcs'!D47))</f>
        <v>86.799999999999983</v>
      </c>
      <c r="C18" s="43"/>
    </row>
    <row r="19" spans="1:4" x14ac:dyDescent="0.25">
      <c r="A19" s="53" t="s">
        <v>89</v>
      </c>
      <c r="B19" s="55">
        <f>'FY20 Calcs'!N11</f>
        <v>18.5</v>
      </c>
      <c r="C19" s="43"/>
      <c r="D19" s="21"/>
    </row>
    <row r="20" spans="1:4" x14ac:dyDescent="0.25">
      <c r="A20" s="53" t="s">
        <v>90</v>
      </c>
      <c r="B20" s="93">
        <f>IF(C8="yes",'FY20 Calcs'!P19,0)</f>
        <v>98.81</v>
      </c>
      <c r="C20" s="43"/>
      <c r="D20" s="21"/>
    </row>
    <row r="21" spans="1:4" x14ac:dyDescent="0.25">
      <c r="A21" s="53" t="s">
        <v>91</v>
      </c>
      <c r="B21" s="55">
        <v>6.13</v>
      </c>
      <c r="C21" s="43"/>
      <c r="D21" s="21"/>
    </row>
    <row r="22" spans="1:4" x14ac:dyDescent="0.25">
      <c r="A22" s="53" t="s">
        <v>92</v>
      </c>
      <c r="B22" s="55">
        <v>0.27</v>
      </c>
      <c r="C22" s="110"/>
      <c r="D22" s="21"/>
    </row>
    <row r="23" spans="1:4" x14ac:dyDescent="0.25">
      <c r="A23" s="53" t="s">
        <v>93</v>
      </c>
      <c r="B23" s="55">
        <f>IF(SUM(B17:B18)&lt;=0,0,0.35)</f>
        <v>0.35</v>
      </c>
      <c r="C23" s="110"/>
      <c r="D23" s="21"/>
    </row>
    <row r="24" spans="1:4" x14ac:dyDescent="0.25">
      <c r="A24" s="53" t="s">
        <v>94</v>
      </c>
      <c r="B24" s="55">
        <f>IF(SUM(B15:B20)*0.06&gt;'FY20 Calcs'!N8,'FY20 Calcs'!N8,SUM(B15:B20)*0.06)</f>
        <v>12.858599999999999</v>
      </c>
      <c r="C24" s="43"/>
      <c r="D24" s="21"/>
    </row>
    <row r="25" spans="1:4" x14ac:dyDescent="0.25">
      <c r="A25" s="58" t="s">
        <v>95</v>
      </c>
      <c r="B25" s="97">
        <f>SUM(B15:B24)*0.05</f>
        <v>11.695930000000001</v>
      </c>
      <c r="C25" s="59"/>
      <c r="D25" s="21"/>
    </row>
    <row r="34" spans="3:3" x14ac:dyDescent="0.25">
      <c r="C34" s="111"/>
    </row>
  </sheetData>
  <protectedRanges>
    <protectedRange sqref="C3:C11" name="Current Rates"/>
  </protectedRanges>
  <mergeCells count="13">
    <mergeCell ref="A1:C1"/>
    <mergeCell ref="A2:C2"/>
    <mergeCell ref="A7:B7"/>
    <mergeCell ref="A8:B8"/>
    <mergeCell ref="A5:B5"/>
    <mergeCell ref="A6:B6"/>
    <mergeCell ref="A3:B3"/>
    <mergeCell ref="A4:B4"/>
    <mergeCell ref="A14:B14"/>
    <mergeCell ref="A11:B11"/>
    <mergeCell ref="A13:B13"/>
    <mergeCell ref="A9:B9"/>
    <mergeCell ref="A10:B10"/>
  </mergeCells>
  <dataValidations count="3">
    <dataValidation type="list" allowBlank="1" showInputMessage="1" showErrorMessage="1" errorTitle="Invalid Entry" error="Please select from the list." promptTitle="Select an option." prompt="Please select yes or no." sqref="C9" xr:uid="{00000000-0002-0000-0200-000000000000}">
      <formula1>"Yes, No- water &amp; sewer, No- water, no-sewer"</formula1>
    </dataValidation>
    <dataValidation type="list" allowBlank="1" showInputMessage="1" showErrorMessage="1" errorTitle="Invalid Entry" error="Please select from the list." promptTitle="Select an option." prompt="Please select yes or no." sqref="C8" xr:uid="{00000000-0002-0000-0200-000001000000}">
      <formula1>"Yes, No"</formula1>
    </dataValidation>
    <dataValidation type="list" allowBlank="1" showInputMessage="1" showErrorMessage="1" errorTitle="Invalid Entry" error="Please select if you're inside or outside city limits." promptTitle="Select an option." prompt="Please select if you're inside or outside the city limits." sqref="C7" xr:uid="{00000000-0002-0000-0200-000002000000}">
      <formula1>"Inside, Outside"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an option from the drop down menu." promptTitle="Select the meter size." prompt="Please select the size of the meter you have." xr:uid="{00000000-0002-0000-0200-000003000000}">
          <x14:formula1>
            <xm:f>'FY20 Calcs'!$G$4:$G$13</xm:f>
          </x14:formula1>
          <xm:sqref>C11</xm:sqref>
        </x14:dataValidation>
        <x14:dataValidation type="list" allowBlank="1" showInputMessage="1" showErrorMessage="1" errorTitle="Invalid Entry" error="Please select an option from the dropdown menu." promptTitle="Type of Customer" prompt="Please select what type of customer you are." xr:uid="{00000000-0002-0000-0200-000004000000}">
          <x14:formula1>
            <xm:f>'FY20 Data'!$Q$3:$Q$8</xm:f>
          </x14:formula1>
          <xm:sqref>C5</xm:sqref>
        </x14:dataValidation>
        <x14:dataValidation type="list" allowBlank="1" showInputMessage="1" showErrorMessage="1" errorTitle="Invalid Entry." error="Please select an option from the drop down menu." promptTitle="Select the meter size." prompt="Please select the size of the meter you have." xr:uid="{00000000-0002-0000-0200-000005000000}">
          <x14:formula1>
            <xm:f>'FY20 Calcs'!$G$4:$G$14</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9CE6-0742-4FA8-8405-BC207B319308}">
  <dimension ref="A1:I16"/>
  <sheetViews>
    <sheetView workbookViewId="0">
      <selection activeCell="B7" sqref="B7:I7"/>
    </sheetView>
  </sheetViews>
  <sheetFormatPr defaultRowHeight="15" x14ac:dyDescent="0.25"/>
  <cols>
    <col min="1" max="1" width="33.5703125" bestFit="1" customWidth="1"/>
  </cols>
  <sheetData>
    <row r="1" spans="1:9" ht="21" x14ac:dyDescent="0.35">
      <c r="A1" s="136" t="s">
        <v>97</v>
      </c>
      <c r="B1" s="136"/>
      <c r="C1" s="136"/>
      <c r="D1" s="136"/>
      <c r="E1" s="136"/>
      <c r="F1" s="136"/>
      <c r="G1" s="136"/>
      <c r="H1" s="136"/>
      <c r="I1" s="136"/>
    </row>
    <row r="2" spans="1:9" ht="63" customHeight="1" x14ac:dyDescent="0.25">
      <c r="A2" s="137" t="s">
        <v>98</v>
      </c>
      <c r="B2" s="138" t="s">
        <v>99</v>
      </c>
      <c r="C2" s="138"/>
      <c r="D2" s="138"/>
      <c r="E2" s="138"/>
      <c r="F2" s="138"/>
      <c r="G2" s="138"/>
      <c r="H2" s="138"/>
      <c r="I2" s="138"/>
    </row>
    <row r="3" spans="1:9" ht="30" customHeight="1" x14ac:dyDescent="0.25">
      <c r="A3" s="139" t="s">
        <v>100</v>
      </c>
      <c r="B3" s="140" t="s">
        <v>101</v>
      </c>
      <c r="C3" s="140"/>
      <c r="D3" s="140"/>
      <c r="E3" s="140"/>
      <c r="F3" s="140"/>
      <c r="G3" s="140"/>
      <c r="H3" s="140"/>
      <c r="I3" s="140"/>
    </row>
    <row r="4" spans="1:9" ht="30.75" customHeight="1" x14ac:dyDescent="0.25">
      <c r="A4" s="139" t="s">
        <v>102</v>
      </c>
      <c r="B4" s="140" t="s">
        <v>103</v>
      </c>
      <c r="C4" s="140"/>
      <c r="D4" s="140"/>
      <c r="E4" s="140"/>
      <c r="F4" s="140"/>
      <c r="G4" s="140"/>
      <c r="H4" s="140"/>
      <c r="I4" s="140"/>
    </row>
    <row r="5" spans="1:9" ht="30.75" customHeight="1" x14ac:dyDescent="0.25">
      <c r="A5" s="139" t="s">
        <v>104</v>
      </c>
      <c r="B5" s="140" t="s">
        <v>105</v>
      </c>
      <c r="C5" s="140"/>
      <c r="D5" s="140"/>
      <c r="E5" s="140"/>
      <c r="F5" s="140"/>
      <c r="G5" s="140"/>
      <c r="H5" s="140"/>
      <c r="I5" s="140"/>
    </row>
    <row r="6" spans="1:9" ht="30.75" customHeight="1" x14ac:dyDescent="0.25">
      <c r="A6" s="139" t="s">
        <v>106</v>
      </c>
      <c r="B6" s="140" t="s">
        <v>107</v>
      </c>
      <c r="C6" s="140"/>
      <c r="D6" s="140"/>
      <c r="E6" s="140"/>
      <c r="F6" s="140"/>
      <c r="G6" s="140"/>
      <c r="H6" s="140"/>
      <c r="I6" s="140"/>
    </row>
    <row r="7" spans="1:9" ht="59.25" customHeight="1" x14ac:dyDescent="0.25">
      <c r="A7" s="141" t="s">
        <v>108</v>
      </c>
      <c r="B7" s="140" t="s">
        <v>109</v>
      </c>
      <c r="C7" s="140"/>
      <c r="D7" s="140"/>
      <c r="E7" s="140"/>
      <c r="F7" s="140"/>
      <c r="G7" s="140"/>
      <c r="H7" s="140"/>
      <c r="I7" s="140"/>
    </row>
    <row r="8" spans="1:9" ht="44.25" customHeight="1" x14ac:dyDescent="0.25">
      <c r="A8" s="139" t="s">
        <v>110</v>
      </c>
      <c r="B8" s="140" t="s">
        <v>111</v>
      </c>
      <c r="C8" s="140"/>
      <c r="D8" s="140"/>
      <c r="E8" s="140"/>
      <c r="F8" s="140"/>
      <c r="G8" s="140"/>
      <c r="H8" s="140"/>
      <c r="I8" s="140"/>
    </row>
    <row r="11" spans="1:9" ht="21" x14ac:dyDescent="0.35">
      <c r="A11" s="136" t="s">
        <v>112</v>
      </c>
      <c r="B11" s="136"/>
      <c r="C11" s="136"/>
      <c r="D11" s="136"/>
      <c r="E11" s="136"/>
      <c r="F11" s="136"/>
      <c r="G11" s="136"/>
      <c r="H11" s="136"/>
      <c r="I11" s="136"/>
    </row>
    <row r="12" spans="1:9" x14ac:dyDescent="0.25">
      <c r="A12" s="142" t="s">
        <v>113</v>
      </c>
      <c r="B12" s="143" t="s">
        <v>114</v>
      </c>
      <c r="C12" s="143"/>
      <c r="D12" s="143"/>
      <c r="E12" s="143"/>
      <c r="F12" s="143"/>
      <c r="G12" s="143"/>
      <c r="H12" s="143"/>
      <c r="I12" s="143"/>
    </row>
    <row r="13" spans="1:9" x14ac:dyDescent="0.25">
      <c r="A13" s="144" t="e">
        <v>#N/A</v>
      </c>
      <c r="B13" s="145" t="s">
        <v>115</v>
      </c>
      <c r="C13" s="145"/>
      <c r="D13" s="145"/>
      <c r="E13" s="145"/>
      <c r="F13" s="145"/>
      <c r="G13" s="145"/>
      <c r="H13" s="145"/>
      <c r="I13" s="145"/>
    </row>
    <row r="14" spans="1:9" ht="29.25" customHeight="1" x14ac:dyDescent="0.25">
      <c r="A14" s="146"/>
      <c r="B14" s="138"/>
      <c r="C14" s="138"/>
      <c r="D14" s="138"/>
      <c r="E14" s="138"/>
      <c r="F14" s="138"/>
      <c r="G14" s="138"/>
      <c r="H14" s="138"/>
      <c r="I14" s="138"/>
    </row>
    <row r="15" spans="1:9" x14ac:dyDescent="0.25">
      <c r="A15" s="144" t="s">
        <v>116</v>
      </c>
      <c r="B15" s="145" t="s">
        <v>117</v>
      </c>
      <c r="C15" s="145"/>
      <c r="D15" s="145"/>
      <c r="E15" s="145"/>
      <c r="F15" s="145"/>
      <c r="G15" s="145"/>
      <c r="H15" s="145"/>
      <c r="I15" s="145"/>
    </row>
    <row r="16" spans="1:9" ht="30" customHeight="1" x14ac:dyDescent="0.25">
      <c r="A16" s="146"/>
      <c r="B16" s="138"/>
      <c r="C16" s="138"/>
      <c r="D16" s="138"/>
      <c r="E16" s="138"/>
      <c r="F16" s="138"/>
      <c r="G16" s="138"/>
      <c r="H16" s="138"/>
      <c r="I16" s="138"/>
    </row>
  </sheetData>
  <mergeCells count="14">
    <mergeCell ref="A15:A16"/>
    <mergeCell ref="B15:I16"/>
    <mergeCell ref="B7:I7"/>
    <mergeCell ref="B8:I8"/>
    <mergeCell ref="A11:I11"/>
    <mergeCell ref="B12:I12"/>
    <mergeCell ref="A13:A14"/>
    <mergeCell ref="B13:I14"/>
    <mergeCell ref="A1:I1"/>
    <mergeCell ref="B2:I2"/>
    <mergeCell ref="B3:I3"/>
    <mergeCell ref="B4:I4"/>
    <mergeCell ref="B5:I5"/>
    <mergeCell ref="B6:I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FY20 Data</vt:lpstr>
      <vt:lpstr>FY20 Calcs</vt:lpstr>
      <vt:lpstr>Results</vt:lpstr>
      <vt:lpstr>Instructions</vt:lpstr>
    </vt:vector>
  </TitlesOfParts>
  <Company>City of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L. Cheatwood</dc:creator>
  <cp:lastModifiedBy>Samantha L. Cheatwood</cp:lastModifiedBy>
  <dcterms:created xsi:type="dcterms:W3CDTF">2020-07-13T14:31:54Z</dcterms:created>
  <dcterms:modified xsi:type="dcterms:W3CDTF">2021-02-12T15:44:11Z</dcterms:modified>
</cp:coreProperties>
</file>